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6" yWindow="0" windowWidth="27800" windowHeight="15420" tabRatio="757" activeTab="0"/>
  </bookViews>
  <sheets>
    <sheet name="Instructions" sheetId="1" r:id="rId1"/>
    <sheet name="Summary Tab" sheetId="2" r:id="rId2"/>
    <sheet name="Weighted Average Calculation" sheetId="3" r:id="rId3"/>
    <sheet name="Questionnaire" sheetId="4" r:id="rId4"/>
    <sheet name="Alternative" sheetId="5" r:id="rId5"/>
    <sheet name="Restricted" sheetId="6" r:id="rId6"/>
    <sheet name="Sizing Worksheet" sheetId="7" r:id="rId7"/>
    <sheet name="Notes" sheetId="8" r:id="rId8"/>
    <sheet name="10-11" sheetId="9" r:id="rId9"/>
    <sheet name="11-12" sheetId="10" r:id="rId10"/>
  </sheets>
  <externalReferences>
    <externalReference r:id="rId13"/>
  </externalReferences>
  <definedNames>
    <definedName name="_Key1" hidden="1">#REF!</definedName>
    <definedName name="_Order1" hidden="1">255</definedName>
    <definedName name="_Sort" hidden="1">#REF!</definedName>
    <definedName name="_xlnm.Print_Area" localSheetId="8">'10-11'!$A$1:$O$47</definedName>
    <definedName name="_xlnm.Print_Area" localSheetId="9">'11-12'!$A$1:$O$47</definedName>
    <definedName name="_xlnm.Print_Area" localSheetId="4">'Alternative'!$A$1:$T$51</definedName>
    <definedName name="_xlnm.Print_Area" localSheetId="7">'Notes'!$A$1:$C$25</definedName>
    <definedName name="_xlnm.Print_Area" localSheetId="3">'Questionnaire'!$A$1:$S$65</definedName>
    <definedName name="_xlnm.Print_Area" localSheetId="5">'Restricted'!$A$1:$T$38</definedName>
    <definedName name="_xlnm.Print_Area" localSheetId="6">'Sizing Worksheet'!$A$1:$S$106</definedName>
    <definedName name="_xlnm.Print_Area" localSheetId="1">'Summary Tab'!$A$1:$S$65</definedName>
    <definedName name="_xlnm.Print_Titles" localSheetId="0">'Instructions'!$1:$4</definedName>
  </definedNames>
  <calcPr fullCalcOnLoad="1"/>
</workbook>
</file>

<file path=xl/comments10.xml><?xml version="1.0" encoding="utf-8"?>
<comments xmlns="http://schemas.openxmlformats.org/spreadsheetml/2006/main">
  <authors>
    <author>wpickering</author>
  </authors>
  <commentList>
    <comment ref="B38" authorId="0">
      <text>
        <r>
          <rPr>
            <b/>
            <sz val="8"/>
            <rFont val="Tahoma"/>
            <family val="2"/>
          </rPr>
          <t>wpickering:</t>
        </r>
        <r>
          <rPr>
            <sz val="8"/>
            <rFont val="Tahoma"/>
            <family val="2"/>
          </rPr>
          <t xml:space="preserve">
COPY
</t>
        </r>
      </text>
    </comment>
  </commentList>
</comments>
</file>

<file path=xl/sharedStrings.xml><?xml version="1.0" encoding="utf-8"?>
<sst xmlns="http://schemas.openxmlformats.org/spreadsheetml/2006/main" count="912" uniqueCount="421">
  <si>
    <t>All Other Financing Sources</t>
  </si>
  <si>
    <t>Total included as available balance for TRANs sizing purposes:</t>
  </si>
  <si>
    <t>Total available for interfund borrowing (includes amount identified above as available for TRANs sizing purposes):</t>
  </si>
  <si>
    <t>TOTAL</t>
  </si>
  <si>
    <t>Contains 2010-11 cash flows derived from the data in the Weighted Average Calculation tab and adjusted as necessary from the information entered in the Alternative and Restricted tabs.  No updates are needed to the sheet--data flows from the Weighted Average Calculation tab.</t>
  </si>
  <si>
    <t>Contains 2011-12 projected cash flows derived from the data in the Summary Tab and adjusted as necessary from the information entered in the Alternative and Restricted tabs.  No updates needed to the sheet--data flows from the Summary Tab.</t>
  </si>
  <si>
    <t xml:space="preserve">Note that the items with blue borders need to be completed.  </t>
  </si>
  <si>
    <t>Notes</t>
  </si>
  <si>
    <t xml:space="preserve">   Trans.......................9640     </t>
  </si>
  <si>
    <t>Accounts Receivable</t>
  </si>
  <si>
    <t xml:space="preserve">     Plus Restricted Cash Released:</t>
  </si>
  <si>
    <t>Certificated Salaries</t>
  </si>
  <si>
    <t>Classified Salaries</t>
  </si>
  <si>
    <t>Employee Benefits</t>
  </si>
  <si>
    <t>Supplies</t>
  </si>
  <si>
    <t xml:space="preserve">Services </t>
  </si>
  <si>
    <t>Capital Outlays</t>
  </si>
  <si>
    <t>Other Outgo</t>
  </si>
  <si>
    <t>Description</t>
  </si>
  <si>
    <t>June
(May Include Acruals)</t>
  </si>
  <si>
    <t xml:space="preserve">A. BEGINNING CASH..............9110     </t>
  </si>
  <si>
    <t xml:space="preserve">NET INCREASE/DECREASE (B - C)           </t>
  </si>
  <si>
    <t xml:space="preserve">D. PRIOR YEAR TRANSACTIONS                                                                                                                                                                                                                             </t>
  </si>
  <si>
    <t xml:space="preserve">   Accounts Receivable.........9115-9340</t>
  </si>
  <si>
    <t xml:space="preserve">   Liabilities.................9500-9669</t>
  </si>
  <si>
    <t>If "Large Issuer", please calculate average beginning</t>
  </si>
  <si>
    <t>If "Large Issuer", enter the lesser of amounts derived</t>
  </si>
  <si>
    <t xml:space="preserve">CF 2009-10                                 07/01/2009 - 06/30/2010                                                                                                                                                                                 </t>
  </si>
  <si>
    <t>Contains questions to determine 1) whether you will be considered a "small issuer" for the 2011-12 TRANs and 2) the maximum size of your TRANs.</t>
  </si>
  <si>
    <t>Please identify, for each month of the 2011-12 cash flows, whether actual or projected figures are used.  Note that the form defaults that actuals through September have been included.</t>
  </si>
  <si>
    <t>E</t>
  </si>
  <si>
    <t>Interfund Transfers Out</t>
  </si>
  <si>
    <t>"Large Issuers" are those who expect to issue more than $5 million in tax-exempt</t>
  </si>
  <si>
    <t>2011-12 TRAN Sizing</t>
  </si>
  <si>
    <t>Cashflow Projections for 2010-11</t>
  </si>
  <si>
    <t>All Other Financing Uses</t>
  </si>
  <si>
    <t>Liabilities</t>
  </si>
  <si>
    <t>Suspense Accounts</t>
  </si>
  <si>
    <t xml:space="preserve">  Local Property Tax</t>
  </si>
  <si>
    <t xml:space="preserve">  State Aid</t>
  </si>
  <si>
    <t xml:space="preserve">  Other</t>
  </si>
  <si>
    <t>TRAN</t>
  </si>
  <si>
    <t>Balance</t>
  </si>
  <si>
    <t>(For a "Large Issuer", only the first six months after closing are considered)</t>
  </si>
  <si>
    <t>Lowest projected cash balance after 1/1/2012 (mm/dd/yy)</t>
  </si>
  <si>
    <t xml:space="preserve">   Revenue Limit                                                                                                                                                                                                                                       </t>
  </si>
  <si>
    <t xml:space="preserve">     Property Tax..............8020-8079</t>
  </si>
  <si>
    <t xml:space="preserve">     State Aid.................8010-8019</t>
  </si>
  <si>
    <t xml:space="preserve">     Other.....................8080-8099</t>
  </si>
  <si>
    <t xml:space="preserve">   Federal Revenues............8100-8299</t>
  </si>
  <si>
    <t xml:space="preserve">   Other State Revenues........8300-8599</t>
  </si>
  <si>
    <t xml:space="preserve">   Other Local Revenues........8600-8799</t>
  </si>
  <si>
    <t>balance which must be incurred within 6 months of issuance</t>
  </si>
  <si>
    <t>Summary Tab</t>
  </si>
  <si>
    <t>Weighted Average Calculation</t>
  </si>
  <si>
    <t>Federal Revenues</t>
  </si>
  <si>
    <t>Other State Revenue</t>
  </si>
  <si>
    <t>Other Local Revenues</t>
  </si>
  <si>
    <t>Interfund Transfers In</t>
  </si>
  <si>
    <t xml:space="preserve">C. DISBURSEMENTS                                                                                                                                                                                                                                       </t>
  </si>
  <si>
    <t xml:space="preserve">   Certificated Salaries.......1000-1999</t>
  </si>
  <si>
    <t xml:space="preserve">   Classified Salaries.........2000-2999</t>
  </si>
  <si>
    <t xml:space="preserve">   Employee Benefits...........3000-3999</t>
  </si>
  <si>
    <t xml:space="preserve">   Supplies ...................4000-4999</t>
  </si>
  <si>
    <t xml:space="preserve">   Services ...................5000-5999</t>
  </si>
  <si>
    <t xml:space="preserve">   Capital Outlays.............6000-6599</t>
  </si>
  <si>
    <t xml:space="preserve">   Other Outgo.................7000-7499</t>
  </si>
  <si>
    <t xml:space="preserve">   Interfund Transfers Out.....7600-7629</t>
  </si>
  <si>
    <t xml:space="preserve">   All Other Financing Uses....7630-7699</t>
  </si>
  <si>
    <t>Trust and Agency</t>
  </si>
  <si>
    <t>&lt;Enter Yes or No&gt;</t>
  </si>
  <si>
    <t>5% of Adjusted 2010-11 General Fund Expenditures</t>
  </si>
  <si>
    <t>as of 6/30/10</t>
  </si>
  <si>
    <t>as of 6/30/11</t>
  </si>
  <si>
    <t xml:space="preserve">CF 2010-11                                  07/01/2010 - 06/30/2011                                                                                                                                                                                 </t>
  </si>
  <si>
    <t>"Rainy day reserve" type cash is NOT considered restricted.  This includes reserves for economic uncertainty, contingency reserves,  and reserves with unspecified business purposes.</t>
  </si>
  <si>
    <t>12.</t>
  </si>
  <si>
    <t>Small</t>
  </si>
  <si>
    <t>Yes</t>
  </si>
  <si>
    <t>No</t>
  </si>
  <si>
    <t>&lt;Select One&gt;</t>
  </si>
  <si>
    <t>Developer Fees</t>
  </si>
  <si>
    <t>question 1, above.  This is your working capital reserve.</t>
  </si>
  <si>
    <t>4.</t>
  </si>
  <si>
    <t>b.</t>
  </si>
  <si>
    <t>Restricted by Revenue Source</t>
  </si>
  <si>
    <t>Restricted by Contract</t>
  </si>
  <si>
    <t>Other</t>
  </si>
  <si>
    <t xml:space="preserve">   Suspense Accounts...........9910-9999</t>
  </si>
  <si>
    <t xml:space="preserve">   TOTAL PRIOR YEAR TRANSACTIONS        </t>
  </si>
  <si>
    <t>E. CSAR RESERVE................9718-9718</t>
  </si>
  <si>
    <t>F. NET INCREASE/DECREASE (B - C + D + E)</t>
  </si>
  <si>
    <t xml:space="preserve">G. ENDING CASH (A + F)                  </t>
  </si>
  <si>
    <t>Check (details difference)</t>
  </si>
  <si>
    <t>Weighted Average from 2009-2011 Activity</t>
  </si>
  <si>
    <t>Percent Received Each Month</t>
  </si>
  <si>
    <t>Check</t>
  </si>
  <si>
    <t>Available</t>
  </si>
  <si>
    <t>State Law / Constitution</t>
  </si>
  <si>
    <t>Federal Restricted</t>
  </si>
  <si>
    <t>Restricted by Voters</t>
  </si>
  <si>
    <t>Developer Fees</t>
  </si>
  <si>
    <t>Actual/Estimated 2010-11 General Fund Expenditures</t>
  </si>
  <si>
    <t>&lt;Enter Yes or No&gt;</t>
  </si>
  <si>
    <t xml:space="preserve">"A" for Actual or </t>
  </si>
  <si>
    <t>&lt;Select One&gt;</t>
  </si>
  <si>
    <t>Large</t>
  </si>
  <si>
    <t>Last pledge date:</t>
  </si>
  <si>
    <t>Restricted by Voters</t>
  </si>
  <si>
    <t>Miscellaneous Adjustments required by Tax Counsel</t>
  </si>
  <si>
    <t>a.</t>
  </si>
  <si>
    <t>Maximum Cumulative Cash Flow Deficit is to occur.</t>
  </si>
  <si>
    <t>11.</t>
  </si>
  <si>
    <t>11a.</t>
  </si>
  <si>
    <t>Approximate amount of ACTUAL lowest cash</t>
  </si>
  <si>
    <t>Did you meet your deficit?</t>
  </si>
  <si>
    <t>5% for Small Issuers,  10% for Large Issuers</t>
  </si>
  <si>
    <t xml:space="preserve">B. RECEIPTS                                                                                                                                                                                                                                            </t>
  </si>
  <si>
    <t>Total Expenditures/Cash Outflows</t>
  </si>
  <si>
    <t>Total TRANS Borrowing</t>
  </si>
  <si>
    <t>Generally, amounts should be readily identifiable from the 6/30/10 Audit.  If not, please explain.</t>
  </si>
  <si>
    <t>11/12</t>
  </si>
  <si>
    <t>&lt;Select One&gt;</t>
  </si>
  <si>
    <t>Please be descriptive, clear and concise.  Explanations that lack clarity will prompt extensive follow-up questions from tax counsel.</t>
  </si>
  <si>
    <t>Yes</t>
  </si>
  <si>
    <t>No</t>
  </si>
  <si>
    <t>Are Funds</t>
  </si>
  <si>
    <t>Beginning Available Cash Balance</t>
  </si>
  <si>
    <t xml:space="preserve">   Interfund Transfers In......8910-8929</t>
  </si>
  <si>
    <t xml:space="preserve">   All Other Financing Sources.8931-8999</t>
  </si>
  <si>
    <t xml:space="preserve">   TOTAL RECEIPTS                       </t>
  </si>
  <si>
    <t xml:space="preserve">                                                                                                                                                                                                                                                       </t>
  </si>
  <si>
    <t>Actual Lowest Cash Balance + 2010-11 TRAN Amount</t>
  </si>
  <si>
    <t>Adjusted Cash Balance</t>
  </si>
  <si>
    <t>No</t>
  </si>
  <si>
    <t>2010-11 Deficit Question</t>
  </si>
  <si>
    <t>Projected/Original July 2010 Beginning Balance (from last year's worksheet)</t>
  </si>
  <si>
    <t>2011-12 TRAN Sizing based on Working Capital Reserve/Safe Harbor</t>
  </si>
  <si>
    <t>Considered</t>
  </si>
  <si>
    <t>General Fund Restricted Cash Questionnaire</t>
  </si>
  <si>
    <t>Alternative Cash Resources Questionnaire</t>
  </si>
  <si>
    <t>Capital Projects</t>
  </si>
  <si>
    <t>Enterprise</t>
  </si>
  <si>
    <t>Debt Service</t>
  </si>
  <si>
    <t>6.</t>
  </si>
  <si>
    <t>Note: Defaults to authorized TRANs size per your resolution unless you override.</t>
  </si>
  <si>
    <t>Restricted</t>
  </si>
  <si>
    <t>(-) Pledges</t>
  </si>
  <si>
    <t>A</t>
  </si>
  <si>
    <t>Total</t>
  </si>
  <si>
    <t>Working Capital Reserve / Safe Harbor</t>
  </si>
  <si>
    <t>as of 6/30/12</t>
  </si>
  <si>
    <t>10/11</t>
  </si>
  <si>
    <t xml:space="preserve">   TOTAL DISBURSEMENTS                   </t>
  </si>
  <si>
    <t>7XXX</t>
  </si>
  <si>
    <t xml:space="preserve">     Plus Restricted Cash Released:</t>
  </si>
  <si>
    <t>Federal Restricted</t>
  </si>
  <si>
    <t>as of 6/30/10</t>
  </si>
  <si>
    <t>as of 6/30/11</t>
  </si>
  <si>
    <t>Expected Interest Rate on Investment of 2011-12 TRANs</t>
  </si>
  <si>
    <t>Cash Balance</t>
  </si>
  <si>
    <t>Comments / Notes</t>
  </si>
  <si>
    <t>Form / Line Number</t>
  </si>
  <si>
    <t>Comment / Note</t>
  </si>
  <si>
    <t>If cash is not expected to be spent within two years (unless funds are held by a third party), please attach a list of projects, dates of completion for each project, and a schedule of expenditures</t>
  </si>
  <si>
    <t>Projected</t>
  </si>
  <si>
    <t>to avoid arbitrage rebate</t>
  </si>
  <si>
    <t>(See D. above)</t>
  </si>
  <si>
    <t>Sizing and Safe Harbor Sizing)</t>
  </si>
  <si>
    <t>Decrease in Disbursements between 7/1/10 -12/31/10</t>
  </si>
  <si>
    <t>Projected Total Disbursements between 7/1/10 to 12/31/10 (from last year's worksheet)</t>
  </si>
  <si>
    <t>Actual Total Disbursements between 7/1/10 - 12/31/10 (from current worksheet)</t>
  </si>
  <si>
    <t>If "Small Issuer", enter the amount derived at the end of</t>
  </si>
  <si>
    <t>Large Issuer - Greater of (a) Average 2010-11 monthly balance or</t>
  </si>
  <si>
    <t>General</t>
  </si>
  <si>
    <t>Special Revenue</t>
  </si>
  <si>
    <t>2011-12 Projected Cash Flow</t>
  </si>
  <si>
    <t>2010-11 Actual Cash Flow</t>
  </si>
  <si>
    <t>Maximum Borrowing Amount (Greater of Working Capital Reserve</t>
  </si>
  <si>
    <t>Internal Service</t>
  </si>
  <si>
    <t>July</t>
  </si>
  <si>
    <t>Ending Balance WITHOUT TRANs</t>
  </si>
  <si>
    <t>August</t>
  </si>
  <si>
    <t>September</t>
  </si>
  <si>
    <t>October</t>
  </si>
  <si>
    <t>November</t>
  </si>
  <si>
    <t>(mm/yyyy)</t>
  </si>
  <si>
    <t>(Yes/No)</t>
  </si>
  <si>
    <t>Receipts</t>
  </si>
  <si>
    <t>2011-12 TRAN Sizing</t>
  </si>
  <si>
    <t xml:space="preserve">   Capital Outlays................................................................6000-6599</t>
  </si>
  <si>
    <t xml:space="preserve">   Other Outgo and Other...................................................7000-7999</t>
  </si>
  <si>
    <t>(C) Total Estimated Expenditures - Cash Outflow</t>
  </si>
  <si>
    <t xml:space="preserve">     Plus Other Available Funds Activity:</t>
  </si>
  <si>
    <t>Actual Total Receipts between 7/1/10 - 12/31/10 (from current worksheet)</t>
  </si>
  <si>
    <t>Restricted by Revenue Source</t>
  </si>
  <si>
    <t>Restricted by Contract</t>
  </si>
  <si>
    <t>Other</t>
  </si>
  <si>
    <t>10/11</t>
  </si>
  <si>
    <t>11/12</t>
  </si>
  <si>
    <t>(+) plus</t>
  </si>
  <si>
    <t>(-) minus</t>
  </si>
  <si>
    <t>Ending</t>
  </si>
  <si>
    <t>Authorized (maximum) TRAN Size as Per Your Resolution</t>
  </si>
  <si>
    <t>Large Issuer Working Capital Reserve</t>
  </si>
  <si>
    <t>December</t>
  </si>
  <si>
    <t>January</t>
  </si>
  <si>
    <t>February</t>
  </si>
  <si>
    <t>Cashflow Projections for 2011-12</t>
  </si>
  <si>
    <t>Dec. 1, 2010</t>
  </si>
  <si>
    <t>Dec. 15, 2010</t>
  </si>
  <si>
    <t>(b) the Lesser of projected 2011-12 Beginning or Ending Balance.</t>
  </si>
  <si>
    <t>Working Capital</t>
  </si>
  <si>
    <t>E.</t>
  </si>
  <si>
    <t>Total Revenue/Cash Inflows</t>
  </si>
  <si>
    <t>Dec. 1, 2011</t>
  </si>
  <si>
    <t>Dec. 15, 2011</t>
  </si>
  <si>
    <t>x</t>
  </si>
  <si>
    <t>{select "wsheet"}</t>
  </si>
  <si>
    <t>{print}</t>
  </si>
  <si>
    <t>{select "osflow"}</t>
  </si>
  <si>
    <t>Fund Type</t>
  </si>
  <si>
    <t>11b.</t>
  </si>
  <si>
    <t>Can the Cash be</t>
  </si>
  <si>
    <t>(excluding 2010-11 TRANs).  Enter whichever is greater of (a) or (b) above.</t>
  </si>
  <si>
    <t>Projected Total Receipts between 7/1/10 to 12/31/10 (from last year's worksheet)</t>
  </si>
  <si>
    <t>(from 2011-12 Cash Flow Projection)</t>
  </si>
  <si>
    <t>2011 Issuer Status</t>
  </si>
  <si>
    <t>2011-12 TRAN</t>
  </si>
  <si>
    <t>Maturity:</t>
  </si>
  <si>
    <t>Expected Interest Earnings on 2011-12 TRAN proceeds to month in which</t>
  </si>
  <si>
    <t>Increase in Receipts between 7/1/10 - 12/31/10</t>
  </si>
  <si>
    <t>Complete this section ONLY if you issued TRANs in the 2010-11 Fiscal Year.</t>
  </si>
  <si>
    <t>cash be spent?</t>
  </si>
  <si>
    <t>Ending Balance WITH TRANs Borrowing</t>
  </si>
  <si>
    <t>TRANs Sizing Spreadsheet Instructions</t>
  </si>
  <si>
    <t>Alternative</t>
  </si>
  <si>
    <t>Large or Small Issuer</t>
  </si>
  <si>
    <t>3.</t>
  </si>
  <si>
    <t>Small Issuer Working Capital Reserve</t>
  </si>
  <si>
    <t xml:space="preserve">     Less Restricted Cash:</t>
  </si>
  <si>
    <t xml:space="preserve">     Plus Other Available Funds:</t>
  </si>
  <si>
    <t>General Fund Cash Balance</t>
  </si>
  <si>
    <t>in questions 1 or 4.  This is your working capital reserve.</t>
  </si>
  <si>
    <t>Reserve Sizing</t>
  </si>
  <si>
    <t>Sizing</t>
  </si>
  <si>
    <t>Use the Notes tab to provide more detail for restrictions identified as "Other".  Please be descriptive, clear and concise.  Explanations that lack clarity will prompt extensive follow-up questions from tax counsel.</t>
  </si>
  <si>
    <t>Lowest actual cash balance mm/dd/yy</t>
  </si>
  <si>
    <t>2010-11 Working Capital Reserve (from last year's worksheet)</t>
  </si>
  <si>
    <t>Actual July 2010 Beginning Balance (from current worksheet)</t>
  </si>
  <si>
    <t>State Law / Constitution</t>
  </si>
  <si>
    <t>Expected Investment Rate on TRANs</t>
  </si>
  <si>
    <t>Preferred TRAN Size if less than Recommended Size</t>
  </si>
  <si>
    <t>March</t>
  </si>
  <si>
    <t>April</t>
  </si>
  <si>
    <t>May</t>
  </si>
  <si>
    <t>June</t>
  </si>
  <si>
    <t>ANNUAL TOTALS</t>
  </si>
  <si>
    <t>and amount</t>
  </si>
  <si>
    <t>5.</t>
  </si>
  <si>
    <t>ALL "RESTRICTED CASH" INFORMATION IS SUBJECT TO REVIEW &amp; APPROVAL BY TAX COUNSEL</t>
  </si>
  <si>
    <t>Do not include highly restricted funds such as bond proceeds, deferred compensation or funds held by a trustee.</t>
  </si>
  <si>
    <t>Questionnaire</t>
  </si>
  <si>
    <t>Local Agency:</t>
  </si>
  <si>
    <t>(+) Amount/</t>
  </si>
  <si>
    <t>Month</t>
  </si>
  <si>
    <t>less:</t>
  </si>
  <si>
    <t>10.</t>
  </si>
  <si>
    <t>Calculation of Working Capital Reserve</t>
  </si>
  <si>
    <t>1.</t>
  </si>
  <si>
    <t>times  .05</t>
  </si>
  <si>
    <t>2.</t>
  </si>
  <si>
    <t>2010-11 TRAN issuer status (large or small):</t>
  </si>
  <si>
    <t>Safe Harbor</t>
  </si>
  <si>
    <t>Informational for Large Issuer Only:</t>
  </si>
  <si>
    <t>General Guidelines:</t>
  </si>
  <si>
    <t>List Restricted Cash Resources in the General Fund</t>
  </si>
  <si>
    <t>Available?</t>
  </si>
  <si>
    <t>Imprest Cash/Petty Cash funds are NOT considered restricted cash.  In addition, monies set aside for maintenance are NOT considered restricted cash.</t>
  </si>
  <si>
    <t>or ending monthly cash balance for 2010-11 fiscal year</t>
  </si>
  <si>
    <r>
      <t>ESTIMATED DISBURSEMENTS</t>
    </r>
    <r>
      <rPr>
        <b/>
        <i/>
        <sz val="11"/>
        <color indexed="8"/>
        <rFont val="Calibri"/>
        <family val="2"/>
      </rPr>
      <t xml:space="preserve"> (Based on 2 year Trend)</t>
    </r>
  </si>
  <si>
    <t xml:space="preserve">   Certificated Salaries........................................................1000-1999</t>
  </si>
  <si>
    <t xml:space="preserve">   Classified Salaries...........................................................2000-2999</t>
  </si>
  <si>
    <t xml:space="preserve">   Employee Benefits..........................................................3000-3999</t>
  </si>
  <si>
    <t xml:space="preserve">   Supplies ..........................................................................4000-4999</t>
  </si>
  <si>
    <t xml:space="preserve">   Services ...........................................................................5000-5999</t>
  </si>
  <si>
    <t>2011-12 Cross Fiscal Year TRANs) during the 2012 calendar year (1/1 - 12/31/2012)</t>
  </si>
  <si>
    <r>
      <t xml:space="preserve">Receipts of / (Payments against) TRANS </t>
    </r>
    <r>
      <rPr>
        <i/>
        <sz val="11"/>
        <color indexed="8"/>
        <rFont val="Calibri"/>
        <family val="2"/>
      </rPr>
      <t>(Per County Controller's Schedule)</t>
    </r>
  </si>
  <si>
    <t>Per QSS CF</t>
  </si>
  <si>
    <r>
      <t xml:space="preserve">CSAR Reserve (F) </t>
    </r>
    <r>
      <rPr>
        <i/>
        <sz val="11"/>
        <color indexed="8"/>
        <rFont val="Calibri"/>
        <family val="2"/>
      </rPr>
      <t>(Per District Input)</t>
    </r>
  </si>
  <si>
    <t xml:space="preserve">For these items, please state whether there is an actuarial study available, and/or how the amount was determined.  </t>
  </si>
  <si>
    <t>Fund Purpose</t>
  </si>
  <si>
    <t>&lt;Select One&gt;</t>
  </si>
  <si>
    <t>Cash Balance</t>
  </si>
  <si>
    <t>TOTAL</t>
  </si>
  <si>
    <t>Indicate</t>
  </si>
  <si>
    <t>Adjusted</t>
  </si>
  <si>
    <t>Beginning</t>
  </si>
  <si>
    <t>Accounts Payable...............................................................9500-9669</t>
  </si>
  <si>
    <t>Suspence Accounts.............................................................9910-9999</t>
  </si>
  <si>
    <t>Total Prior Year Transactions</t>
  </si>
  <si>
    <t>Ending Cash Balance (A) + (D) + (E) + (F) + (G)</t>
  </si>
  <si>
    <t>TRANS BALANCE</t>
  </si>
  <si>
    <t>Ending Cash Balance Without TRANS</t>
  </si>
  <si>
    <t>Cash Balance Since July 2009 (obtained from QSS Cash Flow)</t>
  </si>
  <si>
    <t>ENDING CASH 2011-12 ACTUALS</t>
  </si>
  <si>
    <t>ENDING CASH 2010-11 ACTUALS</t>
  </si>
  <si>
    <t>ENDING CASH 2009-10 ACTUALS</t>
  </si>
  <si>
    <t>Loaned to the</t>
  </si>
  <si>
    <t>When will</t>
  </si>
  <si>
    <t>&lt;Enter Yes or No&gt;</t>
  </si>
  <si>
    <t>as of 6/30/12</t>
  </si>
  <si>
    <t>Enter information identifying cash balances in other funds outside of the General Fund that can be loaned to the General Fund if necessary.  See the General Guidelines at the top of the form.</t>
  </si>
  <si>
    <t>Sizing Worksheet</t>
  </si>
  <si>
    <t>Select Yes or No</t>
  </si>
  <si>
    <t>Projected</t>
  </si>
  <si>
    <t>Why is cash restricted?</t>
  </si>
  <si>
    <t>C.</t>
  </si>
  <si>
    <t>A.</t>
  </si>
  <si>
    <t>B.</t>
  </si>
  <si>
    <t>D.</t>
  </si>
  <si>
    <t>Beginning Balance</t>
  </si>
  <si>
    <t>Difference</t>
  </si>
  <si>
    <t>Other</t>
  </si>
  <si>
    <t>"Master Template" School District</t>
  </si>
  <si>
    <t>2011-12 General Fund Projected Monthly Cash Flows</t>
  </si>
  <si>
    <t>District Business Advisor: [ADVISOR NAME]</t>
  </si>
  <si>
    <t>Updated: October XX, 2011</t>
  </si>
  <si>
    <t>Actual</t>
  </si>
  <si>
    <t>'Sum If' 
Criteria</t>
  </si>
  <si>
    <t>A/R
&amp;
Accruals</t>
  </si>
  <si>
    <t>Annual Total
Plus
A/R &amp; AP</t>
  </si>
  <si>
    <t>Working
Budget</t>
  </si>
  <si>
    <t>Variance
Projected - Budget</t>
  </si>
  <si>
    <t>Beginning Cash Balance (A)</t>
  </si>
  <si>
    <t>ESTIMATED REVENUE</t>
  </si>
  <si>
    <t>Revenue Limit</t>
  </si>
  <si>
    <t>Tax</t>
  </si>
  <si>
    <t>PA</t>
  </si>
  <si>
    <t>Other RL</t>
  </si>
  <si>
    <t>Federal Revenues………………………………………………................8100-8299</t>
  </si>
  <si>
    <t>Fed</t>
  </si>
  <si>
    <t>Other State Revenue ……………………………………………………....8300-8599</t>
  </si>
  <si>
    <t>St</t>
  </si>
  <si>
    <t>Local</t>
  </si>
  <si>
    <r>
      <t>Local Property Tax.............................................................</t>
    </r>
    <r>
      <rPr>
        <sz val="12"/>
        <rFont val="Arial MT"/>
        <family val="0"/>
      </rPr>
      <t>8020-8079</t>
    </r>
  </si>
  <si>
    <r>
      <t>2011-12 Principal Apportionment Schedule.....................</t>
    </r>
    <r>
      <rPr>
        <sz val="12"/>
        <rFont val="Arial MT"/>
        <family val="0"/>
      </rPr>
      <t>8010-8019</t>
    </r>
  </si>
  <si>
    <r>
      <t>Other(Per District Input)....................................................</t>
    </r>
    <r>
      <rPr>
        <sz val="12"/>
        <rFont val="Arial MT"/>
        <family val="0"/>
      </rPr>
      <t>8080-8099</t>
    </r>
  </si>
  <si>
    <t>General Fund</t>
  </si>
  <si>
    <t>+</t>
  </si>
  <si>
    <t>8.</t>
  </si>
  <si>
    <t>9.</t>
  </si>
  <si>
    <t>-</t>
  </si>
  <si>
    <t>=</t>
  </si>
  <si>
    <t xml:space="preserve"> </t>
  </si>
  <si>
    <t>Disbursements</t>
  </si>
  <si>
    <t>"E" for Estimated</t>
  </si>
  <si>
    <t>Cash Flow Questionnaire</t>
  </si>
  <si>
    <t>&lt;Enter Yes or No&gt;</t>
  </si>
  <si>
    <t>Yes</t>
  </si>
  <si>
    <r>
      <t>Interfund Transfers In</t>
    </r>
    <r>
      <rPr>
        <i/>
        <sz val="11"/>
        <color indexed="8"/>
        <rFont val="Calibri"/>
        <family val="2"/>
      </rPr>
      <t xml:space="preserve"> (Per District Input)</t>
    </r>
    <r>
      <rPr>
        <sz val="12"/>
        <rFont val="Arial MT"/>
        <family val="0"/>
      </rPr>
      <t>……………..……......8910-8929</t>
    </r>
  </si>
  <si>
    <r>
      <t xml:space="preserve">All Other Financing Sources </t>
    </r>
    <r>
      <rPr>
        <i/>
        <sz val="11"/>
        <color indexed="8"/>
        <rFont val="Calibri"/>
        <family val="2"/>
      </rPr>
      <t>(Per District Input)</t>
    </r>
    <r>
      <rPr>
        <sz val="12"/>
        <rFont val="Arial MT"/>
        <family val="0"/>
      </rPr>
      <t>……..………..8931-8999</t>
    </r>
  </si>
  <si>
    <t>Internal Service-type cash such as retirement system, workers' compensation, and insurance MUST be supported by a third-party actuarial study and CANNOT be overfunded.</t>
  </si>
  <si>
    <t>C.</t>
  </si>
  <si>
    <t>(See Guidelines A.-B.. above)</t>
  </si>
  <si>
    <t>(See Guidelines D. &amp; E. above)</t>
  </si>
  <si>
    <t>as of 6/30/13</t>
  </si>
  <si>
    <t>n/a</t>
  </si>
  <si>
    <t>Enter information identifying restricted cash in the General Fund.  Note that any identified funds must be restricted for allowable reasons to be excluded from the TRANs sizing calculations.  See the General Guidelines at the top of the form.</t>
  </si>
  <si>
    <t>Maximum Cumulative Cash Flow Deficit</t>
  </si>
  <si>
    <t>plus:</t>
  </si>
  <si>
    <t>7.</t>
  </si>
  <si>
    <t>Santa Clara County Office of Education</t>
  </si>
  <si>
    <t>Wghtd Avg</t>
  </si>
  <si>
    <t>Div/12</t>
  </si>
  <si>
    <t>(B) Total Estimated Revenue - Cash Inflow</t>
  </si>
  <si>
    <t>Fx</t>
  </si>
  <si>
    <r>
      <t>OR</t>
    </r>
    <r>
      <rPr>
        <sz val="12"/>
        <rFont val="Times"/>
        <family val="0"/>
      </rPr>
      <t xml:space="preserve"> do you expect to issue more than $5 million of non-new school construction</t>
    </r>
  </si>
  <si>
    <t xml:space="preserve"> financing (ie: more than $5 million in TRANs) during the 2012 calendar year?</t>
  </si>
  <si>
    <t xml:space="preserve">    0.75% is the suggested rate.  Please adjust this interest rate to reflect </t>
  </si>
  <si>
    <t xml:space="preserve">    your expected earnings on your 2011-12 Cross Fiscal Year TRANs.</t>
  </si>
  <si>
    <t>Self-imposed restriction, such as "restricted by Board action", is generally NOT acceptable reason for restriction in itself.  Please provide objective reasons.</t>
  </si>
  <si>
    <t xml:space="preserve">List cash resources of the school district not included in General Fund cash flow.  </t>
  </si>
  <si>
    <t>Santa Clara County Office of Education</t>
  </si>
  <si>
    <t>obligations (including the 2011-12 TRANs) during the 2012 calendar year</t>
  </si>
  <si>
    <t>11c.</t>
  </si>
  <si>
    <t>Prior Year Transactions (G)</t>
  </si>
  <si>
    <t>10-11</t>
  </si>
  <si>
    <t>11-12</t>
  </si>
  <si>
    <t>(B) - (C) = (D) Net Increase / Decrease</t>
  </si>
  <si>
    <t>TRANS (E)</t>
  </si>
  <si>
    <t>Accounts Receivable...........................................................9115-9340</t>
  </si>
  <si>
    <t>Input</t>
  </si>
  <si>
    <t>Based on the information provided in the earlier tabs, this sheet calculates the 2011-12 TRANs size.  Note that line 12 on row 105 contains the TRANs amount.  If you desire to issue less than this amount, please change Question 4 on the Questionnaire tab.</t>
  </si>
  <si>
    <t>85% of Projected Accounts Receivable at June 30, 2012</t>
  </si>
  <si>
    <t>TRANs closing date:</t>
  </si>
  <si>
    <t>Enter any notes concerning your entries on the prior tabs here.</t>
  </si>
  <si>
    <t xml:space="preserve">There are 9 tabs to this worksheet listed below, the first 7 of which need to be completed to size your TRANs.  </t>
  </si>
  <si>
    <t>FY 11/12 MTD Exp. Category as % of Total MTD Exp.</t>
  </si>
  <si>
    <t xml:space="preserve">   Classified Salaries............................................................2000-2999</t>
  </si>
  <si>
    <t>Total Salaries &amp; Benefits</t>
  </si>
  <si>
    <t xml:space="preserve">   Other Outgo and Other..................................................7000-7999</t>
  </si>
  <si>
    <t>Total Expenditures</t>
  </si>
  <si>
    <t>2010-11 Deferrals</t>
  </si>
  <si>
    <t>2010-11 Principal Apportionment (Deferred)</t>
  </si>
  <si>
    <t>2011-12 Cross Fiscal Year TRANs</t>
  </si>
  <si>
    <t>Contains the data from the Weighted Average Calculation tab of the SCCOE Cash Flow Projection Worksheet. To get your district's information into this tab, open your Cash Flow Projection Worksheet, go to the Weighted Average Calculation tab, select all, copy, go back to this spreadsheet, go to the Weighted Average Calculation tab, select all, and paste.  Note that if you have added or deleted rows or columns on your Weighted Average Calculation tab spreadsheet, you will need to insert/delete the same rows / columns in the Weighted Average Calculation tab of this spreadsheet before pasting the information, and even then the spreadsheet might not calculate the cash flows correctly.</t>
  </si>
  <si>
    <t>Contains the data from the Summary Tab of the SCCOE Cash Flow Projection Worksheet.  To get your district's information into this tab, open your Cash Flow Projection Worksheet, go to the Summary Tab, select all, copy, go back to this spreadsheet, go to the Summary Tab, select all, and paste.  Note that if you have added or deleted rows or columns on your Summary Tab spreadsheet, you will need to insert/delete the same rows / columns in the Summary Tab of this spreadsheet before pasting the information, and even then the spreadsheet might not calculate the cash flows correctly.  If you did not use the SCCOE Cash Flow Projection Worksheet to prepare your 2011-12 cash flows, you can enter your cash flow projection detail in the green cells on the Summary Tab.</t>
  </si>
  <si>
    <r>
      <t xml:space="preserve">Other Local Revenues </t>
    </r>
    <r>
      <rPr>
        <i/>
        <sz val="11"/>
        <color indexed="8"/>
        <rFont val="Calibri"/>
        <family val="2"/>
      </rPr>
      <t>(Per District Input)</t>
    </r>
    <r>
      <rPr>
        <sz val="12"/>
        <rFont val="Arial MT"/>
        <family val="0"/>
      </rPr>
      <t>………….…............8600-8799</t>
    </r>
  </si>
  <si>
    <t>Final Size of 2011-12 Cross Fiscal Year TRAN</t>
  </si>
  <si>
    <t>Recommended Size of 2011-12 Cross Fiscal Year TRANs</t>
  </si>
  <si>
    <t>SACS Form</t>
  </si>
  <si>
    <t>Fund Number</t>
  </si>
  <si>
    <t>Cash Balance</t>
  </si>
  <si>
    <t>12/13</t>
  </si>
  <si>
    <t>D.</t>
  </si>
  <si>
    <t>E.</t>
  </si>
  <si>
    <t>F.</t>
  </si>
  <si>
    <t>(See Guidelines E. &amp; F. above)</t>
  </si>
  <si>
    <t>as of 6/30/13</t>
  </si>
  <si>
    <t xml:space="preserve">Do you expect to issue $15 million or more in tax-exempt obligations (including a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</si>
</sst>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m/dd/yy"/>
    <numFmt numFmtId="174" formatCode="mmmm\ d\,\ yyyy"/>
    <numFmt numFmtId="175" formatCode="_(&quot;$&quot;* #,##0_);_(&quot;$&quot;* \(#,##0\);_(&quot;$&quot;* &quot;-&quot;??_);_(@_)"/>
    <numFmt numFmtId="176" formatCode="_(* #,##0_);_(* \(#,##0\);_(* &quot;-&quot;??_);_(@_)"/>
    <numFmt numFmtId="177" formatCode="0.0%"/>
    <numFmt numFmtId="178" formatCode="mm/yyyy"/>
    <numFmt numFmtId="179" formatCode="0.00000"/>
    <numFmt numFmtId="180" formatCode="0.0000%"/>
    <numFmt numFmtId="181" formatCode="mmmm\ yyyy"/>
    <numFmt numFmtId="182" formatCode="#,##0.000_);[Red]\(#,##0.000\)"/>
    <numFmt numFmtId="183" formatCode="#,##0.0_);[Red]\(#,##0.0\)"/>
    <numFmt numFmtId="184" formatCode="dd\-mmm\-yy"/>
    <numFmt numFmtId="185" formatCode="0%"/>
    <numFmt numFmtId="186" formatCode="m/d/yyyy"/>
    <numFmt numFmtId="187" formatCode="General"/>
    <numFmt numFmtId="188" formatCode="0.00%"/>
    <numFmt numFmtId="189" formatCode="m/d/yy"/>
    <numFmt numFmtId="190" formatCode="#,##0_);\(#,##0\)"/>
  </numFmts>
  <fonts count="84">
    <font>
      <sz val="12"/>
      <name val="Arial MT"/>
      <family val="0"/>
    </font>
    <font>
      <sz val="11"/>
      <color indexed="8"/>
      <name val="Calibri"/>
      <family val="2"/>
    </font>
    <font>
      <sz val="10"/>
      <name val="Arial"/>
      <family val="0"/>
    </font>
    <font>
      <u val="single"/>
      <sz val="12"/>
      <color indexed="12"/>
      <name val="Arial MT"/>
      <family val="0"/>
    </font>
    <font>
      <b/>
      <sz val="10"/>
      <name val="Arial"/>
      <family val="2"/>
    </font>
    <font>
      <b/>
      <sz val="12"/>
      <name val="Arial"/>
      <family val="2"/>
    </font>
    <font>
      <sz val="10"/>
      <name val="SWISS"/>
      <family val="0"/>
    </font>
    <font>
      <sz val="10"/>
      <name val="MS Sans Serif"/>
      <family val="2"/>
    </font>
    <font>
      <b/>
      <sz val="10"/>
      <name val="MS Sans Serif"/>
      <family val="2"/>
    </font>
    <font>
      <sz val="10"/>
      <color indexed="9"/>
      <name val="Arial"/>
      <family val="2"/>
    </font>
    <font>
      <sz val="8"/>
      <name val="Arial"/>
      <family val="2"/>
    </font>
    <font>
      <b/>
      <sz val="8"/>
      <name val="Arial"/>
      <family val="2"/>
    </font>
    <font>
      <b/>
      <sz val="8"/>
      <name val="Tahoma"/>
      <family val="2"/>
    </font>
    <font>
      <sz val="8"/>
      <name val="Tahoma"/>
      <family val="2"/>
    </font>
    <font>
      <sz val="8"/>
      <color indexed="12"/>
      <name val="Arial"/>
      <family val="2"/>
    </font>
    <font>
      <b/>
      <sz val="8"/>
      <color indexed="9"/>
      <name val="Arial"/>
      <family val="2"/>
    </font>
    <font>
      <sz val="8"/>
      <color indexed="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61"/>
      <name val="Arial MT"/>
      <family val="0"/>
    </font>
    <font>
      <sz val="8"/>
      <name val="Eurostile"/>
      <family val="0"/>
    </font>
    <font>
      <i/>
      <sz val="20"/>
      <name val="Times"/>
      <family val="0"/>
    </font>
    <font>
      <sz val="12"/>
      <name val="Times"/>
      <family val="0"/>
    </font>
    <font>
      <b/>
      <i/>
      <sz val="18"/>
      <name val="Times"/>
      <family val="0"/>
    </font>
    <font>
      <i/>
      <sz val="18"/>
      <name val="Times"/>
      <family val="0"/>
    </font>
    <font>
      <sz val="18"/>
      <name val="Times"/>
      <family val="0"/>
    </font>
    <font>
      <sz val="18"/>
      <color indexed="9"/>
      <name val="Times"/>
      <family val="0"/>
    </font>
    <font>
      <b/>
      <i/>
      <sz val="12"/>
      <name val="Times"/>
      <family val="0"/>
    </font>
    <font>
      <sz val="12"/>
      <color indexed="12"/>
      <name val="Times"/>
      <family val="0"/>
    </font>
    <font>
      <i/>
      <sz val="11"/>
      <color indexed="12"/>
      <name val="Times"/>
      <family val="0"/>
    </font>
    <font>
      <b/>
      <sz val="12"/>
      <color indexed="14"/>
      <name val="Times"/>
      <family val="0"/>
    </font>
    <font>
      <b/>
      <sz val="12"/>
      <color indexed="12"/>
      <name val="Times"/>
      <family val="0"/>
    </font>
    <font>
      <u val="single"/>
      <sz val="12"/>
      <name val="Times"/>
      <family val="0"/>
    </font>
    <font>
      <b/>
      <sz val="12"/>
      <name val="Times"/>
      <family val="0"/>
    </font>
    <font>
      <b/>
      <sz val="11"/>
      <color indexed="12"/>
      <name val="Times"/>
      <family val="0"/>
    </font>
    <font>
      <b/>
      <sz val="11"/>
      <color indexed="8"/>
      <name val="Times"/>
      <family val="0"/>
    </font>
    <font>
      <sz val="12"/>
      <color indexed="10"/>
      <name val="Times"/>
      <family val="0"/>
    </font>
    <font>
      <sz val="12"/>
      <color indexed="56"/>
      <name val="Times"/>
      <family val="0"/>
    </font>
    <font>
      <sz val="12"/>
      <color indexed="62"/>
      <name val="Times"/>
      <family val="0"/>
    </font>
    <font>
      <b/>
      <sz val="12"/>
      <color indexed="10"/>
      <name val="Times"/>
      <family val="0"/>
    </font>
    <font>
      <b/>
      <u val="single"/>
      <sz val="12"/>
      <name val="Times"/>
      <family val="0"/>
    </font>
    <font>
      <sz val="10"/>
      <name val="Times"/>
      <family val="0"/>
    </font>
    <font>
      <sz val="11"/>
      <name val="Times"/>
      <family val="0"/>
    </font>
    <font>
      <sz val="12"/>
      <color indexed="8"/>
      <name val="Times"/>
      <family val="0"/>
    </font>
    <font>
      <sz val="14"/>
      <name val="Times"/>
      <family val="0"/>
    </font>
    <font>
      <b/>
      <u val="single"/>
      <sz val="11"/>
      <color indexed="12"/>
      <name val="Times"/>
      <family val="0"/>
    </font>
    <font>
      <b/>
      <sz val="11"/>
      <name val="Times"/>
      <family val="0"/>
    </font>
    <font>
      <b/>
      <u val="single"/>
      <sz val="11"/>
      <color indexed="14"/>
      <name val="Times"/>
      <family val="0"/>
    </font>
    <font>
      <b/>
      <u val="single"/>
      <sz val="11"/>
      <name val="Times"/>
      <family val="0"/>
    </font>
    <font>
      <u val="single"/>
      <sz val="11"/>
      <name val="Times"/>
      <family val="0"/>
    </font>
    <font>
      <sz val="10"/>
      <color indexed="12"/>
      <name val="Times"/>
      <family val="0"/>
    </font>
    <font>
      <b/>
      <sz val="10"/>
      <color indexed="10"/>
      <name val="Times"/>
      <family val="0"/>
    </font>
    <font>
      <b/>
      <sz val="10"/>
      <name val="Times"/>
      <family val="0"/>
    </font>
    <font>
      <sz val="12"/>
      <color indexed="9"/>
      <name val="Times"/>
      <family val="0"/>
    </font>
    <font>
      <i/>
      <sz val="12"/>
      <name val="Times"/>
      <family val="0"/>
    </font>
    <font>
      <b/>
      <sz val="12"/>
      <color indexed="56"/>
      <name val="Times"/>
      <family val="0"/>
    </font>
    <font>
      <b/>
      <sz val="14"/>
      <color indexed="8"/>
      <name val="Calibri"/>
      <family val="2"/>
    </font>
    <font>
      <sz val="14"/>
      <color indexed="8"/>
      <name val="Calibri"/>
      <family val="2"/>
    </font>
    <font>
      <b/>
      <u val="single"/>
      <sz val="14"/>
      <color indexed="8"/>
      <name val="Calibri"/>
      <family val="2"/>
    </font>
    <font>
      <i/>
      <sz val="11"/>
      <color indexed="8"/>
      <name val="Calibri"/>
      <family val="2"/>
    </font>
    <font>
      <b/>
      <u val="single"/>
      <sz val="11"/>
      <color indexed="8"/>
      <name val="Calibri"/>
      <family val="2"/>
    </font>
    <font>
      <b/>
      <u val="singleAccounting"/>
      <sz val="11"/>
      <color indexed="8"/>
      <name val="Calibri"/>
      <family val="2"/>
    </font>
    <font>
      <u val="singleAccounting"/>
      <sz val="11"/>
      <color indexed="8"/>
      <name val="Calibri"/>
      <family val="2"/>
    </font>
    <font>
      <b/>
      <u val="doubleAccounting"/>
      <sz val="11"/>
      <color indexed="8"/>
      <name val="Calibri"/>
      <family val="2"/>
    </font>
    <font>
      <b/>
      <i/>
      <sz val="11"/>
      <color indexed="8"/>
      <name val="Calibri"/>
      <family val="2"/>
    </font>
    <font>
      <b/>
      <i/>
      <u val="single"/>
      <sz val="11"/>
      <color indexed="8"/>
      <name val="Calibri"/>
      <family val="2"/>
    </font>
    <font>
      <b/>
      <i/>
      <u val="double"/>
      <sz val="11"/>
      <color indexed="8"/>
      <name val="Calibri"/>
      <family val="2"/>
    </font>
    <font>
      <sz val="12"/>
      <name val="Calibri"/>
      <family val="0"/>
    </font>
    <font>
      <b/>
      <u val="single"/>
      <sz val="8"/>
      <name val="Arial"/>
      <family val="2"/>
    </font>
    <font>
      <sz val="10"/>
      <name val="Geneva"/>
      <family val="0"/>
    </font>
    <font>
      <b/>
      <sz val="8"/>
      <name val="Arial MT"/>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mediumGray">
        <fgColor indexed="22"/>
      </patternFill>
    </fill>
    <fill>
      <patternFill patternType="solid">
        <fgColor indexed="8"/>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
      <patternFill patternType="solid">
        <fgColor indexed="31"/>
        <bgColor indexed="64"/>
      </patternFill>
    </fill>
    <fill>
      <patternFill patternType="solid">
        <fgColor indexed="50"/>
        <bgColor indexed="64"/>
      </patternFill>
    </fill>
    <fill>
      <patternFill patternType="solid">
        <fgColor indexed="42"/>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color indexed="63"/>
      </left>
      <right>
        <color indexed="63"/>
      </right>
      <top style="thin">
        <color indexed="56"/>
      </top>
      <bottom style="double">
        <color indexed="56"/>
      </bottom>
    </border>
    <border>
      <left>
        <color indexed="63"/>
      </left>
      <right>
        <color indexed="63"/>
      </right>
      <top>
        <color indexed="63"/>
      </top>
      <bottom style="thin"/>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bottom/>
    </border>
    <border>
      <left/>
      <right style="medium">
        <color indexed="8"/>
      </right>
      <top/>
      <bottom/>
    </border>
    <border>
      <left style="medium"/>
      <right/>
      <top/>
      <bottom/>
    </border>
    <border>
      <left/>
      <right/>
      <top/>
      <bottom style="thin">
        <color indexed="12"/>
      </bottom>
    </border>
    <border>
      <left style="medium"/>
      <right/>
      <top style="medium"/>
      <bottom style="medium">
        <color indexed="8"/>
      </bottom>
    </border>
    <border>
      <left style="double">
        <color indexed="12"/>
      </left>
      <right style="double">
        <color indexed="12"/>
      </right>
      <top style="double">
        <color indexed="12"/>
      </top>
      <bottom style="double">
        <color indexed="12"/>
      </bottom>
    </border>
    <border>
      <left/>
      <right/>
      <top style="medium"/>
      <bottom style="medium">
        <color indexed="8"/>
      </bottom>
    </border>
    <border>
      <left/>
      <right style="medium"/>
      <top style="medium"/>
      <bottom style="medium">
        <color indexed="8"/>
      </bottom>
    </border>
    <border>
      <left/>
      <right style="medium"/>
      <top/>
      <bottom/>
    </border>
    <border>
      <left style="thin">
        <color indexed="12"/>
      </left>
      <right style="thin">
        <color indexed="12"/>
      </right>
      <top style="thin">
        <color indexed="12"/>
      </top>
      <bottom style="thin">
        <color indexed="12"/>
      </bottom>
    </border>
    <border>
      <left/>
      <right/>
      <top/>
      <bottom style="thin"/>
    </border>
    <border>
      <left style="medium"/>
      <right>
        <color indexed="63"/>
      </right>
      <top>
        <color indexed="63"/>
      </top>
      <bottom>
        <color indexed="63"/>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bottom style="thin">
        <color indexed="39"/>
      </bottom>
    </border>
    <border>
      <left/>
      <right/>
      <top style="thin">
        <color indexed="39"/>
      </top>
      <bottom style="thin">
        <color indexed="39"/>
      </bottom>
    </border>
    <border>
      <left/>
      <right/>
      <top/>
      <bottom style="double"/>
    </border>
    <border>
      <left/>
      <right/>
      <top/>
      <bottom style="thin">
        <color indexed="8"/>
      </bottom>
    </border>
    <border>
      <left/>
      <right/>
      <top style="thin"/>
      <bottom style="thin"/>
    </border>
    <border>
      <left/>
      <right/>
      <top style="thin">
        <color indexed="12"/>
      </top>
      <bottom style="thin">
        <color indexed="12"/>
      </bottom>
    </border>
    <border>
      <left/>
      <right/>
      <top/>
      <bottom style="double">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style="medium"/>
      <right style="medium"/>
      <top style="medium"/>
      <bottom style="medium"/>
    </border>
    <border>
      <left/>
      <right/>
      <top/>
      <bottom style="hair">
        <color indexed="56"/>
      </bottom>
    </border>
    <border>
      <left style="thin"/>
      <right style="double"/>
      <top style="thin"/>
      <bottom style="thin"/>
    </border>
    <border>
      <left style="double"/>
      <right style="medium"/>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double"/>
    </border>
    <border>
      <left style="double"/>
      <right style="medium"/>
      <top style="thin"/>
      <bottom style="double"/>
    </border>
    <border>
      <left>
        <color indexed="63"/>
      </left>
      <right>
        <color indexed="63"/>
      </right>
      <top style="double"/>
      <bottom style="thin"/>
    </border>
    <border>
      <left style="double"/>
      <right style="medium"/>
      <top style="thin"/>
      <bottom style="medium"/>
    </border>
    <border>
      <left>
        <color indexed="63"/>
      </left>
      <right/>
      <top/>
      <bottom style="thin"/>
    </border>
    <border>
      <left>
        <color indexed="63"/>
      </left>
      <right/>
      <top/>
      <bottom style="thin">
        <color indexed="12"/>
      </bottom>
    </border>
    <border>
      <left style="thin"/>
      <right style="thin"/>
      <top style="thin"/>
      <bottom style="medium"/>
    </border>
    <border>
      <left style="thin"/>
      <right style="thin"/>
      <top style="thin"/>
      <bottom style="double"/>
    </border>
    <border>
      <left style="thin"/>
      <right style="double"/>
      <top style="thin"/>
      <bottom style="double"/>
    </border>
    <border>
      <left>
        <color indexed="63"/>
      </left>
      <right style="thin"/>
      <top>
        <color indexed="63"/>
      </top>
      <bottom style="double"/>
    </border>
    <border>
      <left style="thin"/>
      <right style="double"/>
      <top>
        <color indexed="63"/>
      </top>
      <bottom style="double"/>
    </border>
    <border>
      <left style="double">
        <color indexed="39"/>
      </left>
      <right style="double">
        <color indexed="39"/>
      </right>
      <top style="double">
        <color indexed="39"/>
      </top>
      <bottom style="double">
        <color indexed="39"/>
      </bottom>
    </border>
    <border>
      <left style="double"/>
      <right style="double"/>
      <top style="double"/>
      <bottom style="double"/>
    </border>
    <border>
      <left style="medium"/>
      <right/>
      <top/>
      <bottom>
        <color indexed="63"/>
      </bottom>
    </border>
    <border>
      <left/>
      <right style="medium"/>
      <top/>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style="thin">
        <color indexed="12"/>
      </left>
      <right/>
      <top style="thin">
        <color indexed="12"/>
      </top>
      <bottom/>
    </border>
    <border>
      <left/>
      <right/>
      <top style="thin">
        <color indexed="12"/>
      </top>
      <bottom/>
    </border>
    <border>
      <left/>
      <right style="thin">
        <color indexed="12"/>
      </right>
      <top style="thin">
        <color indexed="12"/>
      </top>
      <bottom/>
    </border>
    <border>
      <left style="thin">
        <color indexed="12"/>
      </left>
      <right/>
      <top/>
      <bottom/>
    </border>
    <border>
      <left/>
      <right style="thin">
        <color indexed="12"/>
      </right>
      <top/>
      <bottom/>
    </border>
    <border>
      <left style="thin">
        <color indexed="12"/>
      </left>
      <right/>
      <top/>
      <bottom style="thin">
        <color indexed="12"/>
      </bottom>
    </border>
    <border>
      <left/>
      <right style="thin">
        <color indexed="12"/>
      </right>
      <top/>
      <bottom style="thin">
        <color indexed="12"/>
      </bottom>
    </border>
  </borders>
  <cellStyleXfs count="93">
    <xf numFmtId="3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9" fillId="16" borderId="1" applyNumberFormat="0" applyAlignment="0" applyProtection="0"/>
    <xf numFmtId="0" fontId="20" fillId="17"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37" fontId="0" fillId="0" borderId="0">
      <alignment/>
      <protection/>
    </xf>
    <xf numFmtId="0" fontId="0" fillId="4" borderId="7" applyNumberFormat="0" applyFont="0" applyAlignment="0" applyProtection="0"/>
    <xf numFmtId="0" fontId="29" fillId="16"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pplyNumberFormat="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0" fontId="8" fillId="0" borderId="9">
      <alignment horizontal="center"/>
      <protection/>
    </xf>
    <xf numFmtId="3" fontId="7" fillId="0" borderId="0" applyFont="0" applyFill="0" applyBorder="0" applyAlignment="0" applyProtection="0"/>
    <xf numFmtId="0" fontId="7" fillId="18" borderId="0" applyNumberFormat="0" applyFont="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27" fillId="0" borderId="0" applyNumberFormat="0" applyFill="0" applyBorder="0" applyAlignment="0" applyProtection="0"/>
  </cellStyleXfs>
  <cellXfs count="466">
    <xf numFmtId="37" fontId="0" fillId="0" borderId="0" xfId="0" applyAlignment="1">
      <alignment/>
    </xf>
    <xf numFmtId="38" fontId="10" fillId="0" borderId="0" xfId="0" applyNumberFormat="1" applyFont="1" applyFill="1" applyBorder="1" applyAlignment="1" applyProtection="1">
      <alignment/>
      <protection/>
    </xf>
    <xf numFmtId="38" fontId="10" fillId="0" borderId="11" xfId="0" applyNumberFormat="1" applyFont="1" applyFill="1" applyBorder="1" applyAlignment="1" applyProtection="1">
      <alignment/>
      <protection/>
    </xf>
    <xf numFmtId="37" fontId="34" fillId="16" borderId="0" xfId="0" applyFont="1" applyFill="1" applyAlignment="1" applyProtection="1">
      <alignment horizontal="centerContinuous"/>
      <protection/>
    </xf>
    <xf numFmtId="37" fontId="35" fillId="16" borderId="0" xfId="0" applyFont="1" applyFill="1" applyAlignment="1" applyProtection="1">
      <alignment/>
      <protection/>
    </xf>
    <xf numFmtId="37" fontId="36" fillId="16" borderId="0" xfId="0" applyFont="1" applyFill="1" applyAlignment="1" applyProtection="1">
      <alignment/>
      <protection/>
    </xf>
    <xf numFmtId="37" fontId="37" fillId="16" borderId="0" xfId="0" applyFont="1" applyFill="1" applyAlignment="1" applyProtection="1">
      <alignment horizontal="left"/>
      <protection/>
    </xf>
    <xf numFmtId="37" fontId="35" fillId="16" borderId="0" xfId="0" applyFont="1" applyFill="1" applyBorder="1" applyAlignment="1" applyProtection="1">
      <alignment/>
      <protection/>
    </xf>
    <xf numFmtId="37" fontId="39" fillId="19" borderId="12" xfId="0" applyFont="1" applyFill="1" applyBorder="1" applyAlignment="1" applyProtection="1">
      <alignment horizontal="centerContinuous"/>
      <protection/>
    </xf>
    <xf numFmtId="37" fontId="39" fillId="19" borderId="13" xfId="0" applyFont="1" applyFill="1" applyBorder="1" applyAlignment="1" applyProtection="1">
      <alignment horizontal="centerContinuous"/>
      <protection/>
    </xf>
    <xf numFmtId="37" fontId="39" fillId="19" borderId="14" xfId="0" applyFont="1" applyFill="1" applyBorder="1" applyAlignment="1" applyProtection="1">
      <alignment horizontal="centerContinuous"/>
      <protection/>
    </xf>
    <xf numFmtId="37" fontId="38" fillId="16" borderId="0" xfId="0" applyFont="1" applyFill="1" applyAlignment="1" applyProtection="1">
      <alignment/>
      <protection/>
    </xf>
    <xf numFmtId="37" fontId="35" fillId="16" borderId="15" xfId="0" applyFont="1" applyFill="1" applyBorder="1" applyAlignment="1" applyProtection="1">
      <alignment/>
      <protection/>
    </xf>
    <xf numFmtId="37" fontId="40" fillId="16" borderId="0" xfId="0" applyFont="1" applyFill="1" applyAlignment="1" applyProtection="1">
      <alignment/>
      <protection/>
    </xf>
    <xf numFmtId="37" fontId="35" fillId="16" borderId="16" xfId="0" applyFont="1" applyFill="1" applyBorder="1" applyAlignment="1" applyProtection="1">
      <alignment/>
      <protection/>
    </xf>
    <xf numFmtId="37" fontId="35" fillId="16" borderId="0" xfId="0" applyFont="1" applyFill="1" applyAlignment="1" applyProtection="1" quotePrefix="1">
      <alignment horizontal="left"/>
      <protection/>
    </xf>
    <xf numFmtId="37" fontId="35" fillId="16" borderId="0" xfId="0" applyFont="1" applyFill="1" applyAlignment="1" applyProtection="1">
      <alignment horizontal="left"/>
      <protection/>
    </xf>
    <xf numFmtId="37" fontId="41" fillId="16" borderId="0" xfId="0" applyFont="1" applyFill="1" applyBorder="1" applyAlignment="1" applyProtection="1">
      <alignment/>
      <protection/>
    </xf>
    <xf numFmtId="37" fontId="42" fillId="16" borderId="0" xfId="0" applyFont="1" applyFill="1" applyBorder="1" applyAlignment="1" applyProtection="1">
      <alignment/>
      <protection/>
    </xf>
    <xf numFmtId="37" fontId="35" fillId="16" borderId="0" xfId="0" applyFont="1" applyFill="1" applyAlignment="1" applyProtection="1">
      <alignment horizontal="right"/>
      <protection/>
    </xf>
    <xf numFmtId="37" fontId="43" fillId="16" borderId="0" xfId="0" applyFont="1" applyFill="1" applyAlignment="1" applyProtection="1">
      <alignment horizontal="left"/>
      <protection/>
    </xf>
    <xf numFmtId="37" fontId="44" fillId="16" borderId="0" xfId="0" applyFont="1" applyFill="1" applyAlignment="1" applyProtection="1">
      <alignment horizontal="left"/>
      <protection/>
    </xf>
    <xf numFmtId="37" fontId="35" fillId="16" borderId="17" xfId="0" applyFont="1" applyFill="1" applyBorder="1" applyAlignment="1" applyProtection="1">
      <alignment horizontal="left"/>
      <protection/>
    </xf>
    <xf numFmtId="37" fontId="45" fillId="16" borderId="0" xfId="0" applyFont="1" applyFill="1" applyAlignment="1" applyProtection="1" quotePrefix="1">
      <alignment horizontal="left"/>
      <protection/>
    </xf>
    <xf numFmtId="37" fontId="46" fillId="16" borderId="0" xfId="0" applyFont="1" applyFill="1" applyAlignment="1" applyProtection="1">
      <alignment horizontal="right"/>
      <protection/>
    </xf>
    <xf numFmtId="37" fontId="47" fillId="16" borderId="18" xfId="0" applyFont="1" applyFill="1" applyBorder="1" applyAlignment="1" applyProtection="1">
      <alignment horizontal="center"/>
      <protection locked="0"/>
    </xf>
    <xf numFmtId="37" fontId="48" fillId="16" borderId="0" xfId="0" applyFont="1" applyFill="1" applyBorder="1" applyAlignment="1" applyProtection="1">
      <alignment horizontal="right"/>
      <protection/>
    </xf>
    <xf numFmtId="37" fontId="47" fillId="16" borderId="0" xfId="0" applyFont="1" applyFill="1" applyBorder="1" applyAlignment="1" applyProtection="1">
      <alignment horizontal="center"/>
      <protection/>
    </xf>
    <xf numFmtId="37" fontId="35" fillId="16" borderId="13" xfId="0" applyFont="1" applyFill="1" applyBorder="1" applyAlignment="1" applyProtection="1">
      <alignment/>
      <protection/>
    </xf>
    <xf numFmtId="37" fontId="35" fillId="16" borderId="14" xfId="0" applyFont="1" applyFill="1" applyBorder="1" applyAlignment="1" applyProtection="1">
      <alignment/>
      <protection/>
    </xf>
    <xf numFmtId="37" fontId="39" fillId="19" borderId="19" xfId="0" applyFont="1" applyFill="1" applyBorder="1" applyAlignment="1" applyProtection="1">
      <alignment horizontal="centerContinuous"/>
      <protection/>
    </xf>
    <xf numFmtId="37" fontId="46" fillId="16" borderId="0" xfId="0" applyFont="1" applyFill="1" applyAlignment="1" applyProtection="1">
      <alignment horizontal="left"/>
      <protection/>
    </xf>
    <xf numFmtId="37" fontId="35" fillId="16" borderId="0" xfId="0" applyFont="1" applyFill="1" applyAlignment="1" applyProtection="1">
      <alignment horizontal="center"/>
      <protection/>
    </xf>
    <xf numFmtId="10" fontId="41" fillId="16" borderId="20" xfId="0" applyNumberFormat="1" applyFont="1" applyFill="1" applyBorder="1" applyAlignment="1" applyProtection="1">
      <alignment/>
      <protection locked="0"/>
    </xf>
    <xf numFmtId="37" fontId="49" fillId="16" borderId="0" xfId="0" applyFont="1" applyFill="1" applyAlignment="1" applyProtection="1">
      <alignment horizontal="left"/>
      <protection/>
    </xf>
    <xf numFmtId="38" fontId="35" fillId="16" borderId="0" xfId="0" applyNumberFormat="1" applyFont="1" applyFill="1" applyAlignment="1" applyProtection="1">
      <alignment/>
      <protection/>
    </xf>
    <xf numFmtId="10" fontId="41" fillId="16" borderId="0" xfId="0" applyNumberFormat="1" applyFont="1" applyFill="1" applyBorder="1" applyAlignment="1" applyProtection="1">
      <alignment/>
      <protection/>
    </xf>
    <xf numFmtId="37" fontId="50" fillId="16" borderId="0" xfId="0" applyFont="1" applyFill="1" applyAlignment="1" applyProtection="1">
      <alignment/>
      <protection/>
    </xf>
    <xf numFmtId="6" fontId="35" fillId="16" borderId="0" xfId="0" applyNumberFormat="1" applyFont="1" applyFill="1" applyAlignment="1" applyProtection="1">
      <alignment/>
      <protection/>
    </xf>
    <xf numFmtId="37" fontId="50" fillId="16" borderId="0" xfId="0" applyFont="1" applyFill="1" applyAlignment="1" applyProtection="1" quotePrefix="1">
      <alignment horizontal="left"/>
      <protection/>
    </xf>
    <xf numFmtId="37" fontId="46" fillId="16" borderId="0" xfId="0" applyFont="1" applyFill="1" applyAlignment="1" applyProtection="1" quotePrefix="1">
      <alignment horizontal="left"/>
      <protection/>
    </xf>
    <xf numFmtId="37" fontId="35" fillId="16" borderId="12" xfId="0" applyFont="1" applyFill="1" applyBorder="1" applyAlignment="1" applyProtection="1">
      <alignment/>
      <protection/>
    </xf>
    <xf numFmtId="37" fontId="39" fillId="19" borderId="21" xfId="0" applyFont="1" applyFill="1" applyBorder="1" applyAlignment="1" applyProtection="1">
      <alignment horizontal="centerContinuous"/>
      <protection/>
    </xf>
    <xf numFmtId="37" fontId="39" fillId="19" borderId="22" xfId="0" applyFont="1" applyFill="1" applyBorder="1" applyAlignment="1" applyProtection="1">
      <alignment horizontal="centerContinuous"/>
      <protection/>
    </xf>
    <xf numFmtId="39" fontId="51" fillId="16" borderId="0" xfId="0" applyNumberFormat="1" applyFont="1" applyFill="1" applyAlignment="1" applyProtection="1">
      <alignment/>
      <protection/>
    </xf>
    <xf numFmtId="37" fontId="52" fillId="16" borderId="17" xfId="0" applyFont="1" applyFill="1" applyBorder="1" applyAlignment="1" applyProtection="1" quotePrefix="1">
      <alignment horizontal="left"/>
      <protection/>
    </xf>
    <xf numFmtId="37" fontId="35" fillId="16" borderId="0" xfId="0" applyFont="1" applyFill="1" applyBorder="1" applyAlignment="1" applyProtection="1">
      <alignment horizontal="left"/>
      <protection/>
    </xf>
    <xf numFmtId="37" fontId="35" fillId="16" borderId="23" xfId="0" applyFont="1" applyFill="1" applyBorder="1" applyAlignment="1" applyProtection="1">
      <alignment/>
      <protection/>
    </xf>
    <xf numFmtId="37" fontId="46" fillId="16" borderId="17" xfId="0" applyFont="1" applyFill="1" applyBorder="1" applyAlignment="1" applyProtection="1">
      <alignment horizontal="left"/>
      <protection/>
    </xf>
    <xf numFmtId="37" fontId="46" fillId="16" borderId="0" xfId="0" applyFont="1" applyFill="1" applyAlignment="1" applyProtection="1">
      <alignment/>
      <protection/>
    </xf>
    <xf numFmtId="37" fontId="41" fillId="16" borderId="18" xfId="0" applyFont="1" applyFill="1" applyBorder="1" applyAlignment="1" applyProtection="1">
      <alignment horizontal="center"/>
      <protection locked="0"/>
    </xf>
    <xf numFmtId="37" fontId="35" fillId="16" borderId="0" xfId="0" applyFont="1" applyFill="1" applyBorder="1" applyAlignment="1" applyProtection="1">
      <alignment horizontal="center"/>
      <protection/>
    </xf>
    <xf numFmtId="37" fontId="35" fillId="16" borderId="0" xfId="0" applyFont="1" applyFill="1" applyBorder="1" applyAlignment="1" applyProtection="1" quotePrefix="1">
      <alignment horizontal="left"/>
      <protection/>
    </xf>
    <xf numFmtId="177" fontId="35" fillId="16" borderId="0" xfId="78" applyNumberFormat="1" applyFont="1" applyFill="1" applyAlignment="1" applyProtection="1">
      <alignment horizontal="center"/>
      <protection/>
    </xf>
    <xf numFmtId="6" fontId="35" fillId="16" borderId="0" xfId="0" applyNumberFormat="1" applyFont="1" applyFill="1" applyBorder="1" applyAlignment="1" applyProtection="1">
      <alignment horizontal="center"/>
      <protection/>
    </xf>
    <xf numFmtId="6" fontId="41" fillId="16" borderId="24" xfId="0" applyNumberFormat="1" applyFont="1" applyFill="1" applyBorder="1" applyAlignment="1" applyProtection="1">
      <alignment horizontal="center"/>
      <protection locked="0"/>
    </xf>
    <xf numFmtId="9" fontId="35" fillId="20" borderId="25" xfId="0" applyNumberFormat="1" applyFont="1" applyFill="1" applyBorder="1" applyAlignment="1" applyProtection="1">
      <alignment horizontal="center"/>
      <protection hidden="1"/>
    </xf>
    <xf numFmtId="37" fontId="52" fillId="20" borderId="0" xfId="0" applyFont="1" applyFill="1" applyBorder="1" applyAlignment="1" applyProtection="1" quotePrefix="1">
      <alignment horizontal="left"/>
      <protection hidden="1"/>
    </xf>
    <xf numFmtId="5" fontId="35" fillId="16" borderId="0" xfId="0" applyNumberFormat="1" applyFont="1" applyFill="1" applyBorder="1" applyAlignment="1" applyProtection="1">
      <alignment horizontal="left"/>
      <protection/>
    </xf>
    <xf numFmtId="10" fontId="35" fillId="16" borderId="0" xfId="0" applyNumberFormat="1" applyFont="1" applyFill="1" applyBorder="1" applyAlignment="1" applyProtection="1">
      <alignment/>
      <protection/>
    </xf>
    <xf numFmtId="37" fontId="53" fillId="16" borderId="0" xfId="0" applyFont="1" applyFill="1" applyBorder="1" applyAlignment="1" applyProtection="1">
      <alignment horizontal="left"/>
      <protection/>
    </xf>
    <xf numFmtId="37" fontId="35" fillId="16" borderId="0" xfId="0" applyFont="1" applyFill="1" applyBorder="1" applyAlignment="1" applyProtection="1">
      <alignment/>
      <protection hidden="1"/>
    </xf>
    <xf numFmtId="37" fontId="54" fillId="16" borderId="0" xfId="0" applyFont="1" applyFill="1" applyBorder="1" applyAlignment="1" applyProtection="1">
      <alignment/>
      <protection/>
    </xf>
    <xf numFmtId="37" fontId="35" fillId="16" borderId="0" xfId="0" applyFont="1" applyFill="1" applyBorder="1" applyAlignment="1" applyProtection="1">
      <alignment horizontal="left" indent="2"/>
      <protection/>
    </xf>
    <xf numFmtId="176" fontId="35" fillId="16" borderId="0" xfId="45" applyNumberFormat="1" applyFont="1" applyFill="1" applyBorder="1" applyAlignment="1" applyProtection="1">
      <alignment horizontal="right"/>
      <protection/>
    </xf>
    <xf numFmtId="176" fontId="35" fillId="16" borderId="0" xfId="45" applyNumberFormat="1" applyFont="1" applyFill="1" applyBorder="1" applyAlignment="1" applyProtection="1">
      <alignment horizontal="left"/>
      <protection/>
    </xf>
    <xf numFmtId="37" fontId="56" fillId="16" borderId="0" xfId="0" applyFont="1" applyFill="1" applyBorder="1" applyAlignment="1" applyProtection="1">
      <alignment horizontal="left"/>
      <protection/>
    </xf>
    <xf numFmtId="37" fontId="55" fillId="16" borderId="0" xfId="0" applyFont="1" applyFill="1" applyBorder="1" applyAlignment="1" applyProtection="1">
      <alignment vertical="top" wrapText="1"/>
      <protection/>
    </xf>
    <xf numFmtId="37" fontId="53" fillId="16" borderId="0" xfId="0" applyFont="1" applyFill="1" applyBorder="1" applyAlignment="1" applyProtection="1" quotePrefix="1">
      <alignment horizontal="left"/>
      <protection/>
    </xf>
    <xf numFmtId="37" fontId="54" fillId="16" borderId="0" xfId="0" applyFont="1" applyFill="1" applyBorder="1" applyAlignment="1" applyProtection="1">
      <alignment vertical="top"/>
      <protection/>
    </xf>
    <xf numFmtId="177" fontId="35" fillId="16" borderId="0" xfId="78" applyNumberFormat="1" applyFont="1" applyFill="1" applyAlignment="1" applyProtection="1">
      <alignment/>
      <protection/>
    </xf>
    <xf numFmtId="37" fontId="35" fillId="16" borderId="26" xfId="0" applyNumberFormat="1" applyFont="1" applyFill="1" applyBorder="1" applyAlignment="1">
      <alignment horizontal="left"/>
    </xf>
    <xf numFmtId="37" fontId="35" fillId="16" borderId="27" xfId="0" applyFont="1" applyFill="1" applyBorder="1" applyAlignment="1" applyProtection="1">
      <alignment/>
      <protection/>
    </xf>
    <xf numFmtId="37" fontId="35" fillId="16" borderId="9" xfId="0" applyFont="1" applyFill="1" applyBorder="1" applyAlignment="1" applyProtection="1">
      <alignment/>
      <protection/>
    </xf>
    <xf numFmtId="37" fontId="35" fillId="16" borderId="28" xfId="0" applyFont="1" applyFill="1" applyBorder="1" applyAlignment="1" applyProtection="1">
      <alignment/>
      <protection/>
    </xf>
    <xf numFmtId="37" fontId="57" fillId="16" borderId="0" xfId="0" applyFont="1" applyFill="1" applyBorder="1" applyAlignment="1" applyProtection="1">
      <alignment/>
      <protection/>
    </xf>
    <xf numFmtId="37" fontId="35" fillId="16" borderId="0" xfId="0" applyFont="1" applyFill="1" applyAlignment="1" applyProtection="1">
      <alignment horizontal="fill"/>
      <protection/>
    </xf>
    <xf numFmtId="37" fontId="35" fillId="0" borderId="0" xfId="0" applyFont="1" applyAlignment="1" applyProtection="1">
      <alignment/>
      <protection/>
    </xf>
    <xf numFmtId="37" fontId="35" fillId="0" borderId="0" xfId="0" applyFont="1" applyAlignment="1">
      <alignment/>
    </xf>
    <xf numFmtId="37" fontId="35" fillId="0" borderId="0" xfId="0" applyFont="1" applyAlignment="1" applyProtection="1">
      <alignment/>
      <protection hidden="1"/>
    </xf>
    <xf numFmtId="37" fontId="39" fillId="19" borderId="29" xfId="0" applyFont="1" applyFill="1" applyBorder="1" applyAlignment="1" applyProtection="1">
      <alignment horizontal="centerContinuous"/>
      <protection/>
    </xf>
    <xf numFmtId="37" fontId="39" fillId="19" borderId="30" xfId="0" applyFont="1" applyFill="1" applyBorder="1" applyAlignment="1" applyProtection="1">
      <alignment horizontal="centerContinuous"/>
      <protection/>
    </xf>
    <xf numFmtId="37" fontId="35" fillId="21" borderId="31" xfId="0" applyFont="1" applyFill="1" applyBorder="1" applyAlignment="1" applyProtection="1">
      <alignment horizontal="centerContinuous"/>
      <protection/>
    </xf>
    <xf numFmtId="37" fontId="35" fillId="0" borderId="29" xfId="0" applyFont="1" applyBorder="1" applyAlignment="1" applyProtection="1">
      <alignment/>
      <protection/>
    </xf>
    <xf numFmtId="37" fontId="35" fillId="0" borderId="30" xfId="0" applyFont="1" applyBorder="1" applyAlignment="1" applyProtection="1">
      <alignment/>
      <protection/>
    </xf>
    <xf numFmtId="37" fontId="35" fillId="0" borderId="31" xfId="0" applyFont="1" applyBorder="1" applyAlignment="1" applyProtection="1">
      <alignment/>
      <protection/>
    </xf>
    <xf numFmtId="37" fontId="35" fillId="0" borderId="17" xfId="0" applyFont="1" applyBorder="1" applyAlignment="1" applyProtection="1">
      <alignment/>
      <protection/>
    </xf>
    <xf numFmtId="37" fontId="47" fillId="0" borderId="0" xfId="0" applyFont="1" applyBorder="1" applyAlignment="1" applyProtection="1">
      <alignment horizontal="left"/>
      <protection/>
    </xf>
    <xf numFmtId="37" fontId="55" fillId="0" borderId="0" xfId="0" applyFont="1" applyBorder="1" applyAlignment="1" applyProtection="1" quotePrefix="1">
      <alignment horizontal="left"/>
      <protection/>
    </xf>
    <xf numFmtId="37" fontId="55" fillId="0" borderId="0" xfId="0" applyFont="1" applyBorder="1" applyAlignment="1" applyProtection="1">
      <alignment/>
      <protection/>
    </xf>
    <xf numFmtId="37" fontId="35" fillId="0" borderId="23" xfId="0" applyFont="1" applyBorder="1" applyAlignment="1" applyProtection="1">
      <alignment/>
      <protection/>
    </xf>
    <xf numFmtId="37" fontId="58" fillId="0" borderId="0" xfId="0" applyFont="1" applyBorder="1" applyAlignment="1" applyProtection="1">
      <alignment/>
      <protection/>
    </xf>
    <xf numFmtId="37" fontId="55" fillId="0" borderId="0" xfId="0" applyFont="1" applyBorder="1" applyAlignment="1" applyProtection="1">
      <alignment horizontal="left" wrapText="1"/>
      <protection/>
    </xf>
    <xf numFmtId="37" fontId="47" fillId="0" borderId="0" xfId="75" applyFont="1" applyBorder="1" applyAlignment="1" applyProtection="1">
      <alignment/>
      <protection/>
    </xf>
    <xf numFmtId="37" fontId="59" fillId="0" borderId="0" xfId="75" applyFont="1" applyBorder="1" applyAlignment="1" applyProtection="1">
      <alignment horizontal="left"/>
      <protection/>
    </xf>
    <xf numFmtId="37" fontId="59" fillId="0" borderId="0" xfId="75" applyFont="1" applyBorder="1" applyAlignment="1" applyProtection="1">
      <alignment horizontal="center"/>
      <protection/>
    </xf>
    <xf numFmtId="37" fontId="55" fillId="0" borderId="0" xfId="0" applyFont="1" applyBorder="1" applyAlignment="1" applyProtection="1">
      <alignment horizontal="center" wrapText="1"/>
      <protection/>
    </xf>
    <xf numFmtId="37" fontId="55" fillId="0" borderId="0" xfId="75" applyFont="1" applyBorder="1" applyProtection="1">
      <alignment/>
      <protection/>
    </xf>
    <xf numFmtId="37" fontId="59" fillId="0" borderId="0" xfId="0" applyFont="1" applyBorder="1" applyAlignment="1" applyProtection="1">
      <alignment horizontal="center"/>
      <protection/>
    </xf>
    <xf numFmtId="37" fontId="60" fillId="0" borderId="0" xfId="0" applyFont="1" applyBorder="1" applyAlignment="1" applyProtection="1">
      <alignment/>
      <protection/>
    </xf>
    <xf numFmtId="37" fontId="35" fillId="0" borderId="0" xfId="0" applyFont="1" applyBorder="1" applyAlignment="1" applyProtection="1">
      <alignment/>
      <protection/>
    </xf>
    <xf numFmtId="37" fontId="35" fillId="0" borderId="0" xfId="0" applyFont="1" applyBorder="1" applyAlignment="1" applyProtection="1" quotePrefix="1">
      <alignment/>
      <protection/>
    </xf>
    <xf numFmtId="37" fontId="55" fillId="0" borderId="0" xfId="0" applyFont="1" applyBorder="1" applyAlignment="1" applyProtection="1">
      <alignment horizontal="center"/>
      <protection/>
    </xf>
    <xf numFmtId="37" fontId="59" fillId="0" borderId="0" xfId="75" applyFont="1" applyBorder="1" applyAlignment="1" applyProtection="1" quotePrefix="1">
      <alignment horizontal="center"/>
      <protection/>
    </xf>
    <xf numFmtId="37" fontId="59" fillId="0" borderId="0" xfId="75" applyFont="1" applyBorder="1" applyProtection="1">
      <alignment/>
      <protection/>
    </xf>
    <xf numFmtId="37" fontId="61" fillId="0" borderId="0" xfId="0" applyFont="1" applyBorder="1" applyAlignment="1" applyProtection="1">
      <alignment horizontal="center"/>
      <protection/>
    </xf>
    <xf numFmtId="37" fontId="61" fillId="0" borderId="0" xfId="75" applyFont="1" applyBorder="1" applyAlignment="1" applyProtection="1">
      <alignment horizontal="center"/>
      <protection/>
    </xf>
    <xf numFmtId="37" fontId="62" fillId="0" borderId="0" xfId="75" applyFont="1" applyBorder="1" applyProtection="1">
      <alignment/>
      <protection/>
    </xf>
    <xf numFmtId="37" fontId="61" fillId="0" borderId="0" xfId="0" applyFont="1" applyBorder="1" applyAlignment="1" applyProtection="1" quotePrefix="1">
      <alignment horizontal="center"/>
      <protection/>
    </xf>
    <xf numFmtId="37" fontId="61" fillId="0" borderId="0" xfId="75" applyFont="1" applyBorder="1" applyProtection="1">
      <alignment/>
      <protection/>
    </xf>
    <xf numFmtId="37" fontId="62" fillId="0" borderId="0" xfId="0" applyFont="1" applyBorder="1" applyAlignment="1" applyProtection="1">
      <alignment horizontal="left" wrapText="1"/>
      <protection/>
    </xf>
    <xf numFmtId="37" fontId="35" fillId="0" borderId="25" xfId="0" applyFont="1" applyBorder="1" applyAlignment="1" applyProtection="1">
      <alignment horizontal="center"/>
      <protection/>
    </xf>
    <xf numFmtId="37" fontId="35" fillId="0" borderId="0" xfId="0" applyFont="1" applyBorder="1" applyAlignment="1" applyProtection="1">
      <alignment horizontal="center"/>
      <protection/>
    </xf>
    <xf numFmtId="37" fontId="35" fillId="0" borderId="0" xfId="75" applyFont="1" applyBorder="1" applyProtection="1">
      <alignment/>
      <protection/>
    </xf>
    <xf numFmtId="37" fontId="46" fillId="0" borderId="0" xfId="75" applyFont="1" applyBorder="1" applyProtection="1">
      <alignment/>
      <protection/>
    </xf>
    <xf numFmtId="37" fontId="35" fillId="0" borderId="0" xfId="0" applyFont="1" applyBorder="1" applyAlignment="1" applyProtection="1">
      <alignment horizontal="left" wrapText="1"/>
      <protection/>
    </xf>
    <xf numFmtId="37" fontId="35" fillId="0" borderId="25" xfId="75" applyFont="1" applyBorder="1" applyProtection="1">
      <alignment/>
      <protection/>
    </xf>
    <xf numFmtId="37" fontId="46" fillId="0" borderId="25" xfId="75" applyFont="1" applyBorder="1" applyProtection="1">
      <alignment/>
      <protection/>
    </xf>
    <xf numFmtId="37" fontId="35" fillId="0" borderId="25" xfId="0" applyFont="1" applyBorder="1" applyAlignment="1" applyProtection="1">
      <alignment horizontal="left" wrapText="1"/>
      <protection/>
    </xf>
    <xf numFmtId="14" fontId="35" fillId="0" borderId="0" xfId="0" applyNumberFormat="1" applyFont="1" applyAlignment="1" applyProtection="1">
      <alignment/>
      <protection/>
    </xf>
    <xf numFmtId="37" fontId="35" fillId="0" borderId="0" xfId="0" applyFont="1" applyAlignment="1" applyProtection="1" quotePrefix="1">
      <alignment/>
      <protection/>
    </xf>
    <xf numFmtId="37" fontId="35" fillId="0" borderId="0" xfId="0" applyFont="1" applyAlignment="1" applyProtection="1">
      <alignment/>
      <protection locked="0"/>
    </xf>
    <xf numFmtId="37" fontId="35" fillId="0" borderId="0" xfId="0" applyFont="1" applyBorder="1" applyAlignment="1" applyProtection="1">
      <alignment horizontal="center" vertical="top"/>
      <protection/>
    </xf>
    <xf numFmtId="49" fontId="63" fillId="0" borderId="32" xfId="0" applyNumberFormat="1" applyFont="1" applyBorder="1" applyAlignment="1" applyProtection="1">
      <alignment wrapText="1"/>
      <protection locked="0"/>
    </xf>
    <xf numFmtId="49" fontId="63" fillId="0" borderId="0" xfId="0" applyNumberFormat="1" applyFont="1" applyBorder="1" applyAlignment="1" applyProtection="1">
      <alignment wrapText="1"/>
      <protection locked="0"/>
    </xf>
    <xf numFmtId="49" fontId="63" fillId="0" borderId="32" xfId="75" applyNumberFormat="1" applyFont="1" applyBorder="1" applyAlignment="1" applyProtection="1">
      <alignment wrapText="1"/>
      <protection locked="0"/>
    </xf>
    <xf numFmtId="37" fontId="54" fillId="0" borderId="0" xfId="75" applyFont="1" applyBorder="1" applyAlignment="1" applyProtection="1">
      <alignment/>
      <protection locked="0"/>
    </xf>
    <xf numFmtId="172" fontId="63" fillId="0" borderId="18" xfId="42" applyNumberFormat="1" applyFont="1" applyBorder="1" applyAlignment="1" applyProtection="1">
      <alignment horizontal="right"/>
      <protection locked="0"/>
    </xf>
    <xf numFmtId="37" fontId="35" fillId="0" borderId="0" xfId="0" applyFont="1" applyBorder="1" applyAlignment="1" applyProtection="1">
      <alignment/>
      <protection locked="0"/>
    </xf>
    <xf numFmtId="178" fontId="63" fillId="0" borderId="18" xfId="0" applyNumberFormat="1" applyFont="1" applyBorder="1" applyAlignment="1" applyProtection="1">
      <alignment horizontal="center"/>
      <protection locked="0"/>
    </xf>
    <xf numFmtId="37" fontId="64" fillId="0" borderId="0" xfId="0" applyFont="1" applyBorder="1" applyAlignment="1" applyProtection="1">
      <alignment horizontal="center" wrapText="1"/>
      <protection locked="0"/>
    </xf>
    <xf numFmtId="37" fontId="63" fillId="0" borderId="18" xfId="0" applyFont="1" applyBorder="1" applyAlignment="1" applyProtection="1">
      <alignment wrapText="1"/>
      <protection locked="0"/>
    </xf>
    <xf numFmtId="49" fontId="63" fillId="0" borderId="33" xfId="0" applyNumberFormat="1" applyFont="1" applyBorder="1" applyAlignment="1" applyProtection="1">
      <alignment wrapText="1"/>
      <protection locked="0"/>
    </xf>
    <xf numFmtId="49" fontId="63" fillId="0" borderId="33" xfId="75" applyNumberFormat="1" applyFont="1" applyBorder="1" applyAlignment="1" applyProtection="1">
      <alignment wrapText="1"/>
      <protection locked="0"/>
    </xf>
    <xf numFmtId="49" fontId="63" fillId="0" borderId="0" xfId="0" applyNumberFormat="1" applyFont="1" applyBorder="1" applyAlignment="1" applyProtection="1">
      <alignment wrapText="1"/>
      <protection/>
    </xf>
    <xf numFmtId="49" fontId="63" fillId="0" borderId="0" xfId="75" applyNumberFormat="1" applyFont="1" applyBorder="1" applyAlignment="1" applyProtection="1">
      <alignment wrapText="1"/>
      <protection/>
    </xf>
    <xf numFmtId="37" fontId="54" fillId="0" borderId="0" xfId="75" applyFont="1" applyBorder="1" applyAlignment="1" applyProtection="1">
      <alignment/>
      <protection/>
    </xf>
    <xf numFmtId="3" fontId="63" fillId="0" borderId="0" xfId="42" applyNumberFormat="1" applyFont="1" applyBorder="1" applyAlignment="1" applyProtection="1">
      <alignment horizontal="right"/>
      <protection/>
    </xf>
    <xf numFmtId="178" fontId="63" fillId="0" borderId="0" xfId="0" applyNumberFormat="1" applyFont="1" applyBorder="1" applyAlignment="1" applyProtection="1">
      <alignment horizontal="center"/>
      <protection/>
    </xf>
    <xf numFmtId="37" fontId="64" fillId="0" borderId="0" xfId="0" applyFont="1" applyBorder="1" applyAlignment="1" applyProtection="1">
      <alignment horizontal="center" wrapText="1"/>
      <protection/>
    </xf>
    <xf numFmtId="37" fontId="63" fillId="0" borderId="0" xfId="0" applyFont="1" applyBorder="1" applyAlignment="1" applyProtection="1">
      <alignment wrapText="1"/>
      <protection/>
    </xf>
    <xf numFmtId="6" fontId="54" fillId="0" borderId="34" xfId="50" applyNumberFormat="1" applyFont="1" applyBorder="1" applyAlignment="1" applyProtection="1">
      <alignment horizontal="right"/>
      <protection/>
    </xf>
    <xf numFmtId="37" fontId="35" fillId="0" borderId="0" xfId="0" applyFont="1" applyFill="1" applyBorder="1" applyAlignment="1" applyProtection="1">
      <alignment/>
      <protection/>
    </xf>
    <xf numFmtId="6" fontId="54" fillId="0" borderId="0" xfId="50" applyNumberFormat="1" applyFont="1" applyBorder="1" applyAlignment="1" applyProtection="1">
      <alignment horizontal="right"/>
      <protection/>
    </xf>
    <xf numFmtId="37" fontId="35" fillId="0" borderId="27" xfId="0" applyFont="1" applyBorder="1" applyAlignment="1" applyProtection="1">
      <alignment/>
      <protection/>
    </xf>
    <xf numFmtId="37" fontId="35" fillId="0" borderId="9" xfId="0" applyFont="1" applyBorder="1" applyAlignment="1" applyProtection="1">
      <alignment/>
      <protection/>
    </xf>
    <xf numFmtId="37" fontId="35" fillId="0" borderId="28" xfId="0" applyFont="1" applyBorder="1" applyAlignment="1" applyProtection="1">
      <alignment/>
      <protection/>
    </xf>
    <xf numFmtId="37" fontId="41" fillId="0" borderId="18" xfId="0" applyFont="1" applyBorder="1" applyAlignment="1" applyProtection="1">
      <alignment vertical="top" wrapText="1"/>
      <protection/>
    </xf>
    <xf numFmtId="37" fontId="59" fillId="0" borderId="25" xfId="75" applyFont="1" applyBorder="1" applyAlignment="1" applyProtection="1">
      <alignment horizontal="center"/>
      <protection/>
    </xf>
    <xf numFmtId="49" fontId="63" fillId="0" borderId="25" xfId="75" applyNumberFormat="1" applyFont="1" applyBorder="1" applyAlignment="1" applyProtection="1">
      <alignment wrapText="1"/>
      <protection/>
    </xf>
    <xf numFmtId="49" fontId="63" fillId="0" borderId="25" xfId="0" applyNumberFormat="1" applyFont="1" applyBorder="1" applyAlignment="1" applyProtection="1">
      <alignment wrapText="1"/>
      <protection/>
    </xf>
    <xf numFmtId="49" fontId="63" fillId="0" borderId="32" xfId="75" applyNumberFormat="1" applyFont="1" applyBorder="1" applyAlignment="1" applyProtection="1">
      <alignment horizontal="left" wrapText="1"/>
      <protection locked="0"/>
    </xf>
    <xf numFmtId="0" fontId="63" fillId="0" borderId="0" xfId="0" applyNumberFormat="1" applyFont="1" applyBorder="1" applyAlignment="1" applyProtection="1">
      <alignment wrapText="1"/>
      <protection locked="0"/>
    </xf>
    <xf numFmtId="37" fontId="37" fillId="0" borderId="0" xfId="0" applyFont="1" applyAlignment="1" applyProtection="1">
      <alignment horizontal="left"/>
      <protection hidden="1"/>
    </xf>
    <xf numFmtId="37" fontId="35" fillId="0" borderId="0" xfId="0" applyFont="1" applyBorder="1" applyAlignment="1" applyProtection="1">
      <alignment/>
      <protection hidden="1"/>
    </xf>
    <xf numFmtId="37" fontId="39" fillId="19" borderId="12" xfId="0" applyFont="1" applyFill="1" applyBorder="1" applyAlignment="1" applyProtection="1">
      <alignment horizontal="centerContinuous"/>
      <protection hidden="1"/>
    </xf>
    <xf numFmtId="37" fontId="39" fillId="19" borderId="13" xfId="0" applyFont="1" applyFill="1" applyBorder="1" applyAlignment="1" applyProtection="1">
      <alignment horizontal="centerContinuous"/>
      <protection hidden="1"/>
    </xf>
    <xf numFmtId="37" fontId="39" fillId="19" borderId="14" xfId="0" applyFont="1" applyFill="1" applyBorder="1" applyAlignment="1" applyProtection="1">
      <alignment horizontal="centerContinuous"/>
      <protection hidden="1"/>
    </xf>
    <xf numFmtId="37" fontId="35" fillId="0" borderId="15" xfId="0" applyFont="1" applyBorder="1" applyAlignment="1" applyProtection="1">
      <alignment/>
      <protection hidden="1"/>
    </xf>
    <xf numFmtId="37" fontId="54" fillId="0" borderId="0" xfId="0" applyFont="1" applyAlignment="1" applyProtection="1">
      <alignment/>
      <protection hidden="1"/>
    </xf>
    <xf numFmtId="37" fontId="65" fillId="0" borderId="0" xfId="0" applyFont="1" applyAlignment="1" applyProtection="1">
      <alignment horizontal="center"/>
      <protection hidden="1"/>
    </xf>
    <xf numFmtId="37" fontId="65" fillId="0" borderId="0" xfId="0" applyFont="1" applyAlignment="1" applyProtection="1" quotePrefix="1">
      <alignment horizontal="right"/>
      <protection hidden="1"/>
    </xf>
    <xf numFmtId="37" fontId="65" fillId="0" borderId="0" xfId="0" applyFont="1" applyAlignment="1" applyProtection="1">
      <alignment/>
      <protection hidden="1"/>
    </xf>
    <xf numFmtId="37" fontId="65" fillId="0" borderId="0" xfId="0" applyFont="1" applyAlignment="1" applyProtection="1">
      <alignment horizontal="right"/>
      <protection hidden="1"/>
    </xf>
    <xf numFmtId="37" fontId="35" fillId="0" borderId="16" xfId="0" applyFont="1" applyBorder="1" applyAlignment="1" applyProtection="1">
      <alignment/>
      <protection hidden="1"/>
    </xf>
    <xf numFmtId="37" fontId="65" fillId="0" borderId="35" xfId="0" applyFont="1" applyBorder="1" applyAlignment="1" applyProtection="1">
      <alignment horizontal="left"/>
      <protection hidden="1"/>
    </xf>
    <xf numFmtId="37" fontId="65" fillId="0" borderId="35" xfId="0" applyFont="1" applyBorder="1" applyAlignment="1" applyProtection="1">
      <alignment horizontal="right"/>
      <protection hidden="1"/>
    </xf>
    <xf numFmtId="37" fontId="65" fillId="0" borderId="35" xfId="0" applyFont="1" applyBorder="1" applyAlignment="1" applyProtection="1">
      <alignment horizontal="center"/>
      <protection hidden="1"/>
    </xf>
    <xf numFmtId="37" fontId="54" fillId="0" borderId="0" xfId="0" applyFont="1" applyAlignment="1" applyProtection="1">
      <alignment horizontal="left"/>
      <protection hidden="1"/>
    </xf>
    <xf numFmtId="37" fontId="66" fillId="0" borderId="15" xfId="0" applyFont="1" applyBorder="1" applyAlignment="1" applyProtection="1">
      <alignment/>
      <protection hidden="1"/>
    </xf>
    <xf numFmtId="37" fontId="66" fillId="0" borderId="0" xfId="0" applyFont="1" applyAlignment="1" applyProtection="1">
      <alignment/>
      <protection hidden="1"/>
    </xf>
    <xf numFmtId="181" fontId="46" fillId="0" borderId="0" xfId="0" applyNumberFormat="1" applyFont="1" applyAlignment="1" applyProtection="1" quotePrefix="1">
      <alignment horizontal="left"/>
      <protection hidden="1"/>
    </xf>
    <xf numFmtId="37" fontId="35" fillId="0" borderId="0" xfId="0" applyFont="1" applyAlignment="1" applyProtection="1">
      <alignment horizontal="center"/>
      <protection hidden="1"/>
    </xf>
    <xf numFmtId="6" fontId="35" fillId="0" borderId="35" xfId="0" applyNumberFormat="1" applyFont="1" applyBorder="1" applyAlignment="1" applyProtection="1">
      <alignment/>
      <protection hidden="1"/>
    </xf>
    <xf numFmtId="6" fontId="35" fillId="0" borderId="25" xfId="0" applyNumberFormat="1" applyFont="1" applyBorder="1" applyAlignment="1" applyProtection="1">
      <alignment/>
      <protection hidden="1"/>
    </xf>
    <xf numFmtId="1" fontId="44" fillId="0" borderId="18" xfId="0" applyNumberFormat="1" applyFont="1" applyBorder="1" applyAlignment="1" applyProtection="1">
      <alignment horizontal="center"/>
      <protection locked="0"/>
    </xf>
    <xf numFmtId="5" fontId="35" fillId="0" borderId="25" xfId="0" applyNumberFormat="1" applyFont="1" applyBorder="1" applyAlignment="1" applyProtection="1">
      <alignment/>
      <protection hidden="1"/>
    </xf>
    <xf numFmtId="37" fontId="46" fillId="0" borderId="0" xfId="0" applyFont="1" applyAlignment="1" applyProtection="1">
      <alignment/>
      <protection hidden="1"/>
    </xf>
    <xf numFmtId="38" fontId="35" fillId="0" borderId="0" xfId="0" applyNumberFormat="1" applyFont="1" applyAlignment="1" applyProtection="1">
      <alignment/>
      <protection hidden="1"/>
    </xf>
    <xf numFmtId="38" fontId="35" fillId="0" borderId="36" xfId="0" applyNumberFormat="1" applyFont="1" applyBorder="1" applyAlignment="1" applyProtection="1">
      <alignment/>
      <protection hidden="1"/>
    </xf>
    <xf numFmtId="1" fontId="44" fillId="0" borderId="37" xfId="0" applyNumberFormat="1" applyFont="1" applyBorder="1" applyAlignment="1" applyProtection="1">
      <alignment horizontal="center"/>
      <protection locked="0"/>
    </xf>
    <xf numFmtId="38" fontId="35" fillId="0" borderId="35" xfId="0" applyNumberFormat="1" applyFont="1" applyBorder="1" applyAlignment="1" applyProtection="1">
      <alignment/>
      <protection hidden="1"/>
    </xf>
    <xf numFmtId="174" fontId="46" fillId="0" borderId="0" xfId="0" applyNumberFormat="1" applyFont="1" applyAlignment="1" applyProtection="1" quotePrefix="1">
      <alignment horizontal="left"/>
      <protection hidden="1"/>
    </xf>
    <xf numFmtId="37" fontId="44" fillId="0" borderId="0" xfId="0" applyFont="1" applyAlignment="1" applyProtection="1">
      <alignment horizontal="left"/>
      <protection hidden="1"/>
    </xf>
    <xf numFmtId="37" fontId="35" fillId="0" borderId="16" xfId="0" applyFont="1" applyBorder="1" applyAlignment="1" applyProtection="1">
      <alignment horizontal="left"/>
      <protection hidden="1"/>
    </xf>
    <xf numFmtId="37" fontId="41" fillId="0" borderId="0" xfId="0" applyFont="1" applyAlignment="1" applyProtection="1">
      <alignment/>
      <protection hidden="1"/>
    </xf>
    <xf numFmtId="37" fontId="46" fillId="0" borderId="0" xfId="0" applyFont="1" applyAlignment="1" applyProtection="1">
      <alignment horizontal="left"/>
      <protection hidden="1"/>
    </xf>
    <xf numFmtId="5" fontId="35" fillId="0" borderId="38" xfId="0" applyNumberFormat="1" applyFont="1" applyBorder="1" applyAlignment="1" applyProtection="1">
      <alignment/>
      <protection hidden="1"/>
    </xf>
    <xf numFmtId="37" fontId="46" fillId="0" borderId="0" xfId="0" applyFont="1" applyAlignment="1" applyProtection="1">
      <alignment horizontal="right"/>
      <protection hidden="1"/>
    </xf>
    <xf numFmtId="37" fontId="41" fillId="0" borderId="0" xfId="0" applyFont="1" applyBorder="1" applyAlignment="1" applyProtection="1">
      <alignment horizontal="center"/>
      <protection hidden="1"/>
    </xf>
    <xf numFmtId="37" fontId="35" fillId="0" borderId="0" xfId="0" applyFont="1" applyFill="1" applyBorder="1" applyAlignment="1" applyProtection="1">
      <alignment/>
      <protection hidden="1"/>
    </xf>
    <xf numFmtId="5" fontId="35" fillId="0" borderId="0" xfId="0" applyNumberFormat="1" applyFont="1" applyBorder="1" applyAlignment="1" applyProtection="1">
      <alignment/>
      <protection hidden="1"/>
    </xf>
    <xf numFmtId="37" fontId="40" fillId="0" borderId="0" xfId="0" applyFont="1" applyAlignment="1" applyProtection="1">
      <alignment horizontal="left"/>
      <protection hidden="1"/>
    </xf>
    <xf numFmtId="173" fontId="35" fillId="0" borderId="34" xfId="0" applyNumberFormat="1" applyFont="1" applyBorder="1" applyAlignment="1" applyProtection="1">
      <alignment/>
      <protection hidden="1"/>
    </xf>
    <xf numFmtId="5" fontId="40" fillId="0" borderId="0" xfId="0" applyNumberFormat="1" applyFont="1" applyBorder="1" applyAlignment="1" applyProtection="1">
      <alignment/>
      <protection hidden="1"/>
    </xf>
    <xf numFmtId="6" fontId="35" fillId="0" borderId="34" xfId="0" applyNumberFormat="1" applyFont="1" applyBorder="1" applyAlignment="1" applyProtection="1">
      <alignment/>
      <protection hidden="1"/>
    </xf>
    <xf numFmtId="37" fontId="35" fillId="0" borderId="12" xfId="0" applyFont="1" applyBorder="1" applyAlignment="1" applyProtection="1">
      <alignment/>
      <protection hidden="1"/>
    </xf>
    <xf numFmtId="37" fontId="35" fillId="0" borderId="13" xfId="0" applyFont="1" applyBorder="1" applyAlignment="1" applyProtection="1">
      <alignment/>
      <protection hidden="1"/>
    </xf>
    <xf numFmtId="37" fontId="35" fillId="0" borderId="14" xfId="0" applyFont="1" applyBorder="1" applyAlignment="1" applyProtection="1">
      <alignment/>
      <protection hidden="1"/>
    </xf>
    <xf numFmtId="5" fontId="35" fillId="0" borderId="35" xfId="0" applyNumberFormat="1" applyFont="1" applyBorder="1" applyAlignment="1" applyProtection="1">
      <alignment/>
      <protection hidden="1"/>
    </xf>
    <xf numFmtId="6" fontId="35" fillId="0" borderId="35" xfId="0" applyNumberFormat="1" applyFont="1" applyBorder="1" applyAlignment="1" applyProtection="1">
      <alignment/>
      <protection/>
    </xf>
    <xf numFmtId="172" fontId="35" fillId="0" borderId="0" xfId="0" applyNumberFormat="1" applyFont="1" applyAlignment="1" applyProtection="1">
      <alignment/>
      <protection hidden="1"/>
    </xf>
    <xf numFmtId="6" fontId="35" fillId="0" borderId="0" xfId="0" applyNumberFormat="1" applyFont="1" applyBorder="1" applyAlignment="1" applyProtection="1">
      <alignment/>
      <protection hidden="1"/>
    </xf>
    <xf numFmtId="37" fontId="35" fillId="0" borderId="0" xfId="0" applyFont="1" applyAlignment="1" applyProtection="1">
      <alignment horizontal="left"/>
      <protection hidden="1"/>
    </xf>
    <xf numFmtId="37" fontId="40" fillId="0" borderId="0" xfId="0" applyFont="1" applyAlignment="1" applyProtection="1">
      <alignment/>
      <protection hidden="1"/>
    </xf>
    <xf numFmtId="37" fontId="46" fillId="0" borderId="0" xfId="0" applyFont="1" applyAlignment="1" applyProtection="1" quotePrefix="1">
      <alignment horizontal="left"/>
      <protection hidden="1"/>
    </xf>
    <xf numFmtId="5" fontId="35" fillId="0" borderId="39" xfId="0" applyNumberFormat="1" applyFont="1" applyBorder="1" applyAlignment="1" applyProtection="1">
      <alignment/>
      <protection hidden="1"/>
    </xf>
    <xf numFmtId="37" fontId="67" fillId="0" borderId="0" xfId="0" applyFont="1" applyAlignment="1" applyProtection="1" quotePrefix="1">
      <alignment horizontal="left"/>
      <protection hidden="1"/>
    </xf>
    <xf numFmtId="37" fontId="67" fillId="0" borderId="0" xfId="0" applyFont="1" applyAlignment="1" applyProtection="1">
      <alignment horizontal="left"/>
      <protection hidden="1"/>
    </xf>
    <xf numFmtId="37" fontId="35" fillId="0" borderId="0" xfId="0" applyFont="1" applyAlignment="1" applyProtection="1">
      <alignment horizontal="right"/>
      <protection hidden="1"/>
    </xf>
    <xf numFmtId="38" fontId="35" fillId="0" borderId="40" xfId="0" applyNumberFormat="1" applyFont="1" applyBorder="1" applyAlignment="1" applyProtection="1">
      <alignment/>
      <protection hidden="1"/>
    </xf>
    <xf numFmtId="37" fontId="35" fillId="0" borderId="0" xfId="0" applyFont="1" applyAlignment="1" applyProtection="1" quotePrefix="1">
      <alignment horizontal="left"/>
      <protection hidden="1"/>
    </xf>
    <xf numFmtId="37" fontId="65" fillId="0" borderId="0" xfId="0" applyFont="1" applyAlignment="1" applyProtection="1">
      <alignment horizontal="centerContinuous"/>
      <protection hidden="1"/>
    </xf>
    <xf numFmtId="37" fontId="65" fillId="0" borderId="13" xfId="0" applyFont="1" applyBorder="1" applyAlignment="1" applyProtection="1">
      <alignment horizontal="centerContinuous"/>
      <protection hidden="1"/>
    </xf>
    <xf numFmtId="37" fontId="65" fillId="0" borderId="13" xfId="0" applyFont="1" applyBorder="1" applyAlignment="1" applyProtection="1">
      <alignment horizontal="center"/>
      <protection hidden="1"/>
    </xf>
    <xf numFmtId="6" fontId="35" fillId="0" borderId="0" xfId="0" applyNumberFormat="1" applyFont="1" applyAlignment="1" applyProtection="1">
      <alignment/>
      <protection hidden="1"/>
    </xf>
    <xf numFmtId="6" fontId="35" fillId="0" borderId="38" xfId="0" applyNumberFormat="1" applyFont="1" applyBorder="1" applyAlignment="1" applyProtection="1">
      <alignment/>
      <protection hidden="1"/>
    </xf>
    <xf numFmtId="6" fontId="35" fillId="0" borderId="40" xfId="0" applyNumberFormat="1" applyFont="1" applyBorder="1" applyAlignment="1" applyProtection="1">
      <alignment/>
      <protection hidden="1"/>
    </xf>
    <xf numFmtId="10" fontId="35" fillId="0" borderId="25" xfId="0" applyNumberFormat="1" applyFont="1" applyBorder="1" applyAlignment="1" applyProtection="1">
      <alignment/>
      <protection hidden="1"/>
    </xf>
    <xf numFmtId="6" fontId="35" fillId="0" borderId="41" xfId="0" applyNumberFormat="1" applyFont="1" applyBorder="1" applyAlignment="1" applyProtection="1">
      <alignment/>
      <protection hidden="1"/>
    </xf>
    <xf numFmtId="37" fontId="68" fillId="0" borderId="0" xfId="0" applyFont="1" applyAlignment="1" applyProtection="1">
      <alignment/>
      <protection hidden="1"/>
    </xf>
    <xf numFmtId="37" fontId="50" fillId="0" borderId="0" xfId="0" applyFont="1" applyAlignment="1" applyProtection="1">
      <alignment/>
      <protection hidden="1"/>
    </xf>
    <xf numFmtId="37" fontId="50" fillId="0" borderId="0" xfId="0" applyFont="1" applyAlignment="1" applyProtection="1" quotePrefix="1">
      <alignment horizontal="left"/>
      <protection hidden="1"/>
    </xf>
    <xf numFmtId="6" fontId="46" fillId="0" borderId="42" xfId="0" applyNumberFormat="1" applyFont="1" applyBorder="1" applyAlignment="1" applyProtection="1">
      <alignment/>
      <protection/>
    </xf>
    <xf numFmtId="6" fontId="50" fillId="0" borderId="43" xfId="0" applyNumberFormat="1" applyFont="1" applyBorder="1" applyAlignment="1" applyProtection="1">
      <alignment/>
      <protection hidden="1"/>
    </xf>
    <xf numFmtId="37" fontId="35" fillId="0" borderId="0" xfId="0" applyFont="1" applyAlignment="1" applyProtection="1">
      <alignment horizontal="fill"/>
      <protection hidden="1"/>
    </xf>
    <xf numFmtId="0" fontId="63" fillId="0" borderId="0" xfId="0" applyNumberFormat="1" applyFont="1" applyBorder="1" applyAlignment="1" applyProtection="1">
      <alignment horizontal="center"/>
      <protection/>
    </xf>
    <xf numFmtId="172" fontId="63" fillId="0" borderId="0" xfId="42" applyNumberFormat="1" applyFont="1" applyBorder="1" applyAlignment="1" applyProtection="1">
      <alignment horizontal="right"/>
      <protection/>
    </xf>
    <xf numFmtId="37" fontId="59" fillId="0" borderId="25" xfId="0" applyFont="1" applyBorder="1" applyAlignment="1" applyProtection="1">
      <alignment horizontal="center"/>
      <protection/>
    </xf>
    <xf numFmtId="37" fontId="59" fillId="0" borderId="25" xfId="0" applyFont="1" applyBorder="1" applyAlignment="1" applyProtection="1" quotePrefix="1">
      <alignment horizontal="center"/>
      <protection/>
    </xf>
    <xf numFmtId="37" fontId="35" fillId="0" borderId="25" xfId="0" applyFont="1" applyBorder="1" applyAlignment="1" applyProtection="1">
      <alignment/>
      <protection/>
    </xf>
    <xf numFmtId="37" fontId="54" fillId="0" borderId="25" xfId="75" applyFont="1" applyBorder="1" applyAlignment="1" applyProtection="1">
      <alignment/>
      <protection/>
    </xf>
    <xf numFmtId="3" fontId="63" fillId="0" borderId="25" xfId="42" applyNumberFormat="1" applyFont="1" applyBorder="1" applyAlignment="1" applyProtection="1">
      <alignment horizontal="right"/>
      <protection/>
    </xf>
    <xf numFmtId="172" fontId="63" fillId="0" borderId="25" xfId="42" applyNumberFormat="1" applyFont="1" applyBorder="1" applyAlignment="1" applyProtection="1">
      <alignment horizontal="right"/>
      <protection/>
    </xf>
    <xf numFmtId="0" fontId="63" fillId="0" borderId="32" xfId="0" applyNumberFormat="1" applyFont="1" applyBorder="1" applyAlignment="1" applyProtection="1">
      <alignment wrapText="1"/>
      <protection locked="0"/>
    </xf>
    <xf numFmtId="49" fontId="63" fillId="0" borderId="0" xfId="75" applyNumberFormat="1" applyFont="1" applyBorder="1" applyAlignment="1" applyProtection="1">
      <alignment horizontal="left" wrapText="1"/>
      <protection locked="0"/>
    </xf>
    <xf numFmtId="0" fontId="63" fillId="0" borderId="18" xfId="42" applyNumberFormat="1" applyFont="1" applyBorder="1" applyAlignment="1" applyProtection="1">
      <alignment horizontal="center"/>
      <protection locked="0"/>
    </xf>
    <xf numFmtId="37" fontId="35" fillId="0" borderId="0" xfId="0" applyFont="1" applyFill="1" applyBorder="1" applyAlignment="1" applyProtection="1">
      <alignment/>
      <protection locked="0"/>
    </xf>
    <xf numFmtId="49" fontId="63" fillId="0" borderId="0" xfId="75" applyNumberFormat="1" applyFont="1" applyBorder="1" applyAlignment="1" applyProtection="1">
      <alignment wrapText="1"/>
      <protection locked="0"/>
    </xf>
    <xf numFmtId="3" fontId="63" fillId="0" borderId="37" xfId="42" applyNumberFormat="1" applyFont="1" applyBorder="1" applyAlignment="1" applyProtection="1">
      <alignment horizontal="right"/>
      <protection locked="0"/>
    </xf>
    <xf numFmtId="37" fontId="49" fillId="0" borderId="0" xfId="0" applyFont="1" applyBorder="1" applyAlignment="1" applyProtection="1">
      <alignment/>
      <protection/>
    </xf>
    <xf numFmtId="175" fontId="35" fillId="0" borderId="0" xfId="50" applyNumberFormat="1" applyFont="1" applyBorder="1" applyAlignment="1" applyProtection="1">
      <alignment horizontal="right"/>
      <protection/>
    </xf>
    <xf numFmtId="37" fontId="54" fillId="0" borderId="0" xfId="0" applyFont="1" applyBorder="1" applyAlignment="1" applyProtection="1">
      <alignment/>
      <protection/>
    </xf>
    <xf numFmtId="37" fontId="35" fillId="0" borderId="0" xfId="0" applyFont="1" applyAlignment="1" applyProtection="1" quotePrefix="1">
      <alignment horizontal="left"/>
      <protection/>
    </xf>
    <xf numFmtId="184" fontId="14" fillId="0" borderId="0" xfId="0" applyNumberFormat="1" applyFont="1" applyFill="1" applyAlignment="1" applyProtection="1" quotePrefix="1">
      <alignment horizontal="center"/>
      <protection/>
    </xf>
    <xf numFmtId="37" fontId="11" fillId="0" borderId="44" xfId="0" applyFont="1" applyFill="1" applyBorder="1" applyAlignment="1" applyProtection="1">
      <alignment horizontal="center" wrapText="1"/>
      <protection/>
    </xf>
    <xf numFmtId="37" fontId="11" fillId="0" borderId="45" xfId="0" applyFont="1" applyFill="1" applyBorder="1" applyAlignment="1" applyProtection="1">
      <alignment horizontal="center" wrapText="1"/>
      <protection/>
    </xf>
    <xf numFmtId="37" fontId="11" fillId="0" borderId="46" xfId="0" applyFont="1" applyFill="1" applyBorder="1" applyAlignment="1" applyProtection="1">
      <alignment horizontal="center" wrapText="1"/>
      <protection/>
    </xf>
    <xf numFmtId="37" fontId="11" fillId="0" borderId="39" xfId="0" applyFont="1" applyFill="1" applyBorder="1" applyAlignment="1" applyProtection="1">
      <alignment/>
      <protection/>
    </xf>
    <xf numFmtId="175" fontId="11" fillId="0" borderId="46" xfId="50" applyNumberFormat="1" applyFont="1" applyFill="1" applyBorder="1" applyAlignment="1" applyProtection="1">
      <alignment/>
      <protection/>
    </xf>
    <xf numFmtId="37" fontId="10" fillId="0" borderId="39" xfId="0" applyNumberFormat="1" applyFont="1" applyFill="1" applyBorder="1" applyAlignment="1" applyProtection="1">
      <alignment/>
      <protection/>
    </xf>
    <xf numFmtId="176" fontId="10" fillId="0" borderId="39" xfId="42" applyNumberFormat="1" applyFont="1" applyFill="1" applyBorder="1" applyAlignment="1" applyProtection="1">
      <alignment/>
      <protection/>
    </xf>
    <xf numFmtId="37" fontId="11" fillId="0" borderId="39" xfId="0" applyFont="1" applyFill="1" applyBorder="1" applyAlignment="1" applyProtection="1">
      <alignment horizontal="left" wrapText="1"/>
      <protection/>
    </xf>
    <xf numFmtId="175" fontId="11" fillId="0" borderId="45" xfId="50" applyNumberFormat="1" applyFont="1" applyFill="1" applyBorder="1" applyAlignment="1" applyProtection="1">
      <alignment/>
      <protection/>
    </xf>
    <xf numFmtId="37" fontId="10" fillId="0" borderId="47" xfId="0" applyNumberFormat="1" applyFont="1" applyFill="1" applyBorder="1" applyAlignment="1" applyProtection="1">
      <alignment/>
      <protection/>
    </xf>
    <xf numFmtId="175" fontId="11" fillId="0" borderId="48" xfId="50" applyNumberFormat="1" applyFont="1" applyFill="1" applyBorder="1" applyAlignment="1" applyProtection="1">
      <alignment/>
      <protection/>
    </xf>
    <xf numFmtId="175" fontId="11" fillId="0" borderId="49" xfId="50" applyNumberFormat="1" applyFont="1" applyFill="1" applyBorder="1" applyAlignment="1" applyProtection="1">
      <alignment/>
      <protection/>
    </xf>
    <xf numFmtId="175" fontId="15" fillId="0" borderId="0" xfId="50" applyNumberFormat="1" applyFont="1" applyFill="1" applyBorder="1" applyAlignment="1" applyProtection="1">
      <alignment/>
      <protection/>
    </xf>
    <xf numFmtId="175" fontId="15" fillId="0" borderId="50" xfId="52" applyNumberFormat="1" applyFont="1" applyBorder="1" applyAlignment="1" applyProtection="1">
      <alignment/>
      <protection/>
    </xf>
    <xf numFmtId="37" fontId="11" fillId="0" borderId="47" xfId="0" applyFont="1" applyFill="1" applyBorder="1" applyAlignment="1" applyProtection="1">
      <alignment/>
      <protection/>
    </xf>
    <xf numFmtId="37" fontId="35" fillId="0" borderId="0" xfId="0" applyFont="1" applyBorder="1" applyAlignment="1" applyProtection="1">
      <alignment/>
      <protection hidden="1"/>
    </xf>
    <xf numFmtId="14" fontId="35" fillId="0" borderId="0" xfId="0" applyNumberFormat="1" applyFont="1" applyAlignment="1" applyProtection="1">
      <alignment/>
      <protection hidden="1"/>
    </xf>
    <xf numFmtId="176" fontId="10" fillId="0" borderId="45" xfId="42" applyNumberFormat="1" applyFont="1" applyFill="1" applyBorder="1" applyAlignment="1" applyProtection="1">
      <alignment/>
      <protection/>
    </xf>
    <xf numFmtId="175" fontId="11" fillId="0" borderId="0" xfId="50" applyNumberFormat="1" applyFont="1" applyFill="1" applyBorder="1" applyAlignment="1" applyProtection="1">
      <alignment/>
      <protection/>
    </xf>
    <xf numFmtId="175" fontId="11" fillId="0" borderId="50" xfId="52" applyNumberFormat="1" applyFont="1" applyBorder="1" applyAlignment="1" applyProtection="1">
      <alignment/>
      <protection/>
    </xf>
    <xf numFmtId="37" fontId="35" fillId="0" borderId="0" xfId="0" applyFont="1" applyAlignment="1" quotePrefix="1">
      <alignment/>
    </xf>
    <xf numFmtId="176" fontId="10" fillId="0" borderId="39" xfId="42" applyNumberFormat="1" applyFont="1" applyFill="1" applyBorder="1" applyAlignment="1" applyProtection="1">
      <alignment/>
      <protection locked="0"/>
    </xf>
    <xf numFmtId="176" fontId="10" fillId="0" borderId="51" xfId="42" applyNumberFormat="1" applyFont="1" applyFill="1" applyBorder="1" applyAlignment="1" applyProtection="1">
      <alignment/>
      <protection/>
    </xf>
    <xf numFmtId="176" fontId="35" fillId="0" borderId="25" xfId="45" applyNumberFormat="1" applyFont="1" applyFill="1" applyBorder="1" applyAlignment="1" applyProtection="1">
      <alignment horizontal="right"/>
      <protection/>
    </xf>
    <xf numFmtId="37" fontId="35" fillId="0" borderId="0" xfId="0" applyFont="1" applyFill="1" applyAlignment="1" applyProtection="1">
      <alignment horizontal="left"/>
      <protection/>
    </xf>
    <xf numFmtId="37" fontId="35" fillId="0" borderId="52" xfId="0" applyFont="1" applyBorder="1" applyAlignment="1" applyProtection="1">
      <alignment/>
      <protection/>
    </xf>
    <xf numFmtId="0" fontId="54" fillId="0" borderId="53" xfId="42" applyNumberFormat="1" applyFont="1" applyBorder="1" applyAlignment="1" applyProtection="1">
      <alignment horizontal="center"/>
      <protection/>
    </xf>
    <xf numFmtId="37" fontId="49" fillId="0" borderId="0" xfId="0" applyFont="1" applyBorder="1" applyAlignment="1" applyProtection="1">
      <alignment/>
      <protection/>
    </xf>
    <xf numFmtId="37" fontId="5" fillId="0" borderId="0" xfId="0" applyFont="1" applyFill="1" applyAlignment="1" applyProtection="1">
      <alignment/>
      <protection/>
    </xf>
    <xf numFmtId="37" fontId="5" fillId="0" borderId="0" xfId="0" applyFont="1" applyFill="1" applyBorder="1" applyAlignment="1" applyProtection="1">
      <alignment/>
      <protection/>
    </xf>
    <xf numFmtId="37" fontId="10" fillId="0" borderId="0" xfId="0" applyFont="1" applyFill="1" applyAlignment="1" applyProtection="1">
      <alignment/>
      <protection/>
    </xf>
    <xf numFmtId="38" fontId="10" fillId="0" borderId="0" xfId="0" applyNumberFormat="1" applyFont="1" applyFill="1" applyAlignment="1" applyProtection="1">
      <alignment/>
      <protection/>
    </xf>
    <xf numFmtId="49" fontId="10" fillId="0" borderId="0" xfId="0" applyNumberFormat="1" applyFont="1" applyFill="1" applyAlignment="1" applyProtection="1">
      <alignment/>
      <protection/>
    </xf>
    <xf numFmtId="37" fontId="11" fillId="0" borderId="0" xfId="0" applyFont="1" applyFill="1" applyAlignment="1" applyProtection="1">
      <alignment/>
      <protection/>
    </xf>
    <xf numFmtId="37" fontId="10" fillId="0" borderId="0" xfId="0" applyFont="1" applyFill="1" applyBorder="1" applyAlignment="1" applyProtection="1">
      <alignment/>
      <protection/>
    </xf>
    <xf numFmtId="0" fontId="16" fillId="0" borderId="0" xfId="0" applyNumberFormat="1" applyFont="1" applyFill="1" applyAlignment="1" applyProtection="1">
      <alignment horizontal="center"/>
      <protection/>
    </xf>
    <xf numFmtId="37" fontId="16" fillId="0" borderId="0" xfId="0" applyFont="1" applyFill="1" applyAlignment="1" applyProtection="1">
      <alignment horizontal="center"/>
      <protection/>
    </xf>
    <xf numFmtId="22" fontId="10" fillId="0" borderId="0" xfId="0" applyNumberFormat="1" applyFont="1" applyFill="1" applyAlignment="1" applyProtection="1">
      <alignment/>
      <protection/>
    </xf>
    <xf numFmtId="37" fontId="11" fillId="0" borderId="39" xfId="0" applyFont="1" applyFill="1" applyBorder="1" applyAlignment="1" applyProtection="1">
      <alignment horizontal="center" wrapText="1"/>
      <protection/>
    </xf>
    <xf numFmtId="37" fontId="10" fillId="0" borderId="0" xfId="0" applyFont="1" applyFill="1" applyBorder="1" applyAlignment="1" applyProtection="1">
      <alignment horizontal="center" wrapText="1"/>
      <protection/>
    </xf>
    <xf numFmtId="37" fontId="16" fillId="0" borderId="0" xfId="0" applyFont="1" applyFill="1" applyBorder="1" applyAlignment="1" applyProtection="1">
      <alignment/>
      <protection/>
    </xf>
    <xf numFmtId="37" fontId="10" fillId="0" borderId="54" xfId="0" applyNumberFormat="1" applyFont="1" applyFill="1" applyBorder="1" applyAlignment="1" applyProtection="1">
      <alignment/>
      <protection/>
    </xf>
    <xf numFmtId="37" fontId="11" fillId="0" borderId="55" xfId="0" applyFont="1" applyFill="1" applyBorder="1" applyAlignment="1" applyProtection="1">
      <alignment/>
      <protection/>
    </xf>
    <xf numFmtId="37" fontId="11" fillId="0" borderId="0" xfId="0" applyFont="1" applyFill="1" applyBorder="1" applyAlignment="1" applyProtection="1">
      <alignment/>
      <protection/>
    </xf>
    <xf numFmtId="37" fontId="11" fillId="0" borderId="11" xfId="0" applyFont="1" applyFill="1" applyBorder="1" applyAlignment="1" applyProtection="1">
      <alignment/>
      <protection/>
    </xf>
    <xf numFmtId="37" fontId="11" fillId="0" borderId="50" xfId="0" applyFont="1" applyBorder="1" applyAlignment="1" applyProtection="1">
      <alignment/>
      <protection/>
    </xf>
    <xf numFmtId="37" fontId="10" fillId="0" borderId="0" xfId="0" applyFont="1" applyAlignment="1" applyProtection="1">
      <alignment/>
      <protection/>
    </xf>
    <xf numFmtId="38" fontId="35" fillId="0" borderId="35" xfId="0" applyNumberFormat="1" applyFont="1" applyFill="1" applyBorder="1" applyAlignment="1" applyProtection="1">
      <alignment/>
      <protection hidden="1"/>
    </xf>
    <xf numFmtId="37" fontId="35" fillId="0" borderId="0" xfId="0" applyFont="1" applyFill="1" applyAlignment="1" applyProtection="1">
      <alignment/>
      <protection hidden="1"/>
    </xf>
    <xf numFmtId="6" fontId="35" fillId="0" borderId="25" xfId="0" applyNumberFormat="1" applyFont="1" applyFill="1" applyBorder="1" applyAlignment="1" applyProtection="1">
      <alignment/>
      <protection hidden="1"/>
    </xf>
    <xf numFmtId="6" fontId="35" fillId="0" borderId="35" xfId="0" applyNumberFormat="1" applyFont="1" applyFill="1" applyBorder="1" applyAlignment="1" applyProtection="1">
      <alignment/>
      <protection hidden="1"/>
    </xf>
    <xf numFmtId="38" fontId="35" fillId="0" borderId="0" xfId="0" applyNumberFormat="1" applyFont="1" applyFill="1" applyAlignment="1" applyProtection="1">
      <alignment/>
      <protection hidden="1"/>
    </xf>
    <xf numFmtId="37" fontId="35" fillId="0" borderId="0" xfId="0" applyFont="1" applyAlignment="1">
      <alignment wrapText="1"/>
    </xf>
    <xf numFmtId="37" fontId="49" fillId="16" borderId="0" xfId="0" applyFont="1" applyFill="1" applyAlignment="1" applyProtection="1">
      <alignment/>
      <protection/>
    </xf>
    <xf numFmtId="175" fontId="11" fillId="0" borderId="56" xfId="50" applyNumberFormat="1" applyFont="1" applyFill="1" applyBorder="1" applyAlignment="1" applyProtection="1">
      <alignment/>
      <protection/>
    </xf>
    <xf numFmtId="176" fontId="10" fillId="0" borderId="0" xfId="42" applyNumberFormat="1" applyFont="1" applyFill="1" applyBorder="1" applyAlignment="1" applyProtection="1">
      <alignment horizontal="left"/>
      <protection/>
    </xf>
    <xf numFmtId="176" fontId="10" fillId="0" borderId="47" xfId="42" applyNumberFormat="1" applyFont="1" applyFill="1" applyBorder="1" applyAlignment="1" applyProtection="1">
      <alignment/>
      <protection locked="0"/>
    </xf>
    <xf numFmtId="176" fontId="10" fillId="0" borderId="39" xfId="42" applyNumberFormat="1" applyFont="1" applyFill="1" applyBorder="1" applyAlignment="1" applyProtection="1" quotePrefix="1">
      <alignment/>
      <protection locked="0"/>
    </xf>
    <xf numFmtId="176" fontId="10" fillId="0" borderId="39" xfId="44" applyNumberFormat="1" applyFont="1" applyFill="1" applyBorder="1" applyAlignment="1" applyProtection="1">
      <alignment/>
      <protection locked="0"/>
    </xf>
    <xf numFmtId="175" fontId="11" fillId="0" borderId="57" xfId="50" applyNumberFormat="1" applyFont="1" applyFill="1" applyBorder="1" applyAlignment="1" applyProtection="1">
      <alignment/>
      <protection/>
    </xf>
    <xf numFmtId="175" fontId="11" fillId="0" borderId="58" xfId="50" applyNumberFormat="1" applyFont="1" applyFill="1" applyBorder="1" applyAlignment="1" applyProtection="1">
      <alignment/>
      <protection/>
    </xf>
    <xf numFmtId="175" fontId="11" fillId="0" borderId="48" xfId="50" applyNumberFormat="1" applyFont="1" applyFill="1" applyBorder="1" applyAlignment="1" applyProtection="1">
      <alignment/>
      <protection locked="0"/>
    </xf>
    <xf numFmtId="38" fontId="16" fillId="0" borderId="11" xfId="0" applyNumberFormat="1" applyFont="1" applyFill="1" applyBorder="1" applyAlignment="1" applyProtection="1">
      <alignment/>
      <protection/>
    </xf>
    <xf numFmtId="6" fontId="35" fillId="16" borderId="0" xfId="0" applyNumberFormat="1" applyFont="1" applyFill="1" applyBorder="1" applyAlignment="1" applyProtection="1">
      <alignment horizontal="center"/>
      <protection hidden="1"/>
    </xf>
    <xf numFmtId="176" fontId="10" fillId="0" borderId="54" xfId="42" applyNumberFormat="1" applyFont="1" applyFill="1" applyBorder="1" applyAlignment="1" applyProtection="1" quotePrefix="1">
      <alignment/>
      <protection locked="0"/>
    </xf>
    <xf numFmtId="38" fontId="11" fillId="0" borderId="39" xfId="0" applyNumberFormat="1" applyFont="1" applyFill="1" applyBorder="1" applyAlignment="1" applyProtection="1">
      <alignment horizontal="center" wrapText="1"/>
      <protection locked="0"/>
    </xf>
    <xf numFmtId="6" fontId="54" fillId="0" borderId="34" xfId="50" applyNumberFormat="1" applyFont="1" applyBorder="1" applyAlignment="1" applyProtection="1">
      <alignment horizontal="right"/>
      <protection/>
    </xf>
    <xf numFmtId="174" fontId="46" fillId="0" borderId="0" xfId="42" applyNumberFormat="1" applyFont="1" applyAlignment="1" applyProtection="1" quotePrefix="1">
      <alignment horizontal="left"/>
      <protection hidden="1"/>
    </xf>
    <xf numFmtId="37" fontId="69" fillId="0" borderId="0" xfId="0" applyFont="1" applyAlignment="1">
      <alignment/>
    </xf>
    <xf numFmtId="37" fontId="70" fillId="22" borderId="0" xfId="0" applyFont="1" applyFill="1" applyAlignment="1">
      <alignment horizontal="center"/>
    </xf>
    <xf numFmtId="37" fontId="70" fillId="0" borderId="0" xfId="0" applyFont="1" applyAlignment="1">
      <alignment/>
    </xf>
    <xf numFmtId="37" fontId="72" fillId="0" borderId="0" xfId="0" applyFont="1" applyAlignment="1">
      <alignment/>
    </xf>
    <xf numFmtId="37" fontId="31" fillId="0" borderId="0" xfId="0" applyFont="1" applyAlignment="1">
      <alignment/>
    </xf>
    <xf numFmtId="37" fontId="73" fillId="0" borderId="0" xfId="0" applyFont="1" applyAlignment="1">
      <alignment horizontal="center"/>
    </xf>
    <xf numFmtId="37" fontId="73" fillId="22" borderId="0" xfId="0" applyFont="1" applyFill="1" applyAlignment="1" quotePrefix="1">
      <alignment horizontal="center" wrapText="1"/>
    </xf>
    <xf numFmtId="37" fontId="73" fillId="0" borderId="0" xfId="0" applyFont="1" applyAlignment="1">
      <alignment horizontal="center" wrapText="1"/>
    </xf>
    <xf numFmtId="37" fontId="31" fillId="22" borderId="0" xfId="0" applyFont="1" applyFill="1" applyAlignment="1">
      <alignment horizontal="center"/>
    </xf>
    <xf numFmtId="37" fontId="72" fillId="0" borderId="0" xfId="0" applyFont="1" applyAlignment="1">
      <alignment horizontal="left" indent="2"/>
    </xf>
    <xf numFmtId="37" fontId="31" fillId="0" borderId="0" xfId="0" applyFont="1" applyAlignment="1">
      <alignment horizontal="right"/>
    </xf>
    <xf numFmtId="37" fontId="1" fillId="0" borderId="0" xfId="0" applyFont="1" applyAlignment="1">
      <alignment/>
    </xf>
    <xf numFmtId="37" fontId="31" fillId="0" borderId="0" xfId="0" applyFont="1" applyAlignment="1">
      <alignment horizontal="right" indent="1"/>
    </xf>
    <xf numFmtId="37" fontId="73" fillId="0" borderId="0" xfId="0" applyFont="1" applyAlignment="1">
      <alignment/>
    </xf>
    <xf numFmtId="37" fontId="73" fillId="22" borderId="0" xfId="0" applyFont="1" applyFill="1" applyAlignment="1">
      <alignment horizontal="center"/>
    </xf>
    <xf numFmtId="37" fontId="73" fillId="0" borderId="0" xfId="0" applyFont="1" applyBorder="1" applyAlignment="1">
      <alignment/>
    </xf>
    <xf numFmtId="37" fontId="31" fillId="0" borderId="0" xfId="0" applyFont="1" applyAlignment="1">
      <alignment horizontal="left" indent="1"/>
    </xf>
    <xf numFmtId="37" fontId="31" fillId="23" borderId="39" xfId="0" applyFont="1" applyFill="1" applyBorder="1" applyAlignment="1">
      <alignment horizontal="center" vertical="center"/>
    </xf>
    <xf numFmtId="37" fontId="31" fillId="0" borderId="39" xfId="0" applyFont="1" applyBorder="1" applyAlignment="1">
      <alignment vertical="center"/>
    </xf>
    <xf numFmtId="37" fontId="31" fillId="0" borderId="39" xfId="0" applyFont="1" applyBorder="1" applyAlignment="1">
      <alignment horizontal="left" vertical="center"/>
    </xf>
    <xf numFmtId="6" fontId="41" fillId="16" borderId="20" xfId="0" applyNumberFormat="1" applyFont="1" applyFill="1" applyBorder="1" applyAlignment="1" applyProtection="1">
      <alignment horizontal="right"/>
      <protection locked="0"/>
    </xf>
    <xf numFmtId="6" fontId="41" fillId="16" borderId="59" xfId="0" applyNumberFormat="1" applyFont="1" applyFill="1" applyBorder="1" applyAlignment="1" applyProtection="1">
      <alignment horizontal="right"/>
      <protection locked="0"/>
    </xf>
    <xf numFmtId="6" fontId="35" fillId="0" borderId="60" xfId="0" applyNumberFormat="1" applyFont="1" applyBorder="1" applyAlignment="1" applyProtection="1">
      <alignment horizontal="right"/>
      <protection hidden="1"/>
    </xf>
    <xf numFmtId="37" fontId="31" fillId="22" borderId="39" xfId="0" applyFont="1" applyFill="1" applyBorder="1" applyAlignment="1">
      <alignment/>
    </xf>
    <xf numFmtId="37" fontId="31" fillId="0" borderId="39" xfId="0" applyFont="1" applyFill="1" applyBorder="1" applyAlignment="1">
      <alignment/>
    </xf>
    <xf numFmtId="37" fontId="77" fillId="22" borderId="39" xfId="0" applyFont="1" applyFill="1" applyBorder="1" applyAlignment="1">
      <alignment/>
    </xf>
    <xf numFmtId="37" fontId="73" fillId="22" borderId="39" xfId="0" applyFont="1" applyFill="1" applyBorder="1" applyAlignment="1">
      <alignment/>
    </xf>
    <xf numFmtId="37" fontId="72" fillId="0" borderId="39" xfId="0" applyFont="1" applyFill="1" applyBorder="1" applyAlignment="1">
      <alignment/>
    </xf>
    <xf numFmtId="37" fontId="72" fillId="22" borderId="39" xfId="0" applyFont="1" applyFill="1" applyBorder="1" applyAlignment="1">
      <alignment/>
    </xf>
    <xf numFmtId="37" fontId="72" fillId="16" borderId="39" xfId="0" applyFont="1" applyFill="1" applyBorder="1" applyAlignment="1">
      <alignment/>
    </xf>
    <xf numFmtId="37" fontId="31" fillId="10" borderId="39" xfId="0" applyFont="1" applyFill="1" applyBorder="1" applyAlignment="1">
      <alignment/>
    </xf>
    <xf numFmtId="37" fontId="72" fillId="10" borderId="39" xfId="0" applyFont="1" applyFill="1" applyBorder="1" applyAlignment="1">
      <alignment/>
    </xf>
    <xf numFmtId="37" fontId="73" fillId="10" borderId="39" xfId="0" applyFont="1" applyFill="1" applyBorder="1" applyAlignment="1">
      <alignment/>
    </xf>
    <xf numFmtId="37" fontId="77" fillId="10" borderId="39" xfId="0" applyFont="1" applyFill="1" applyBorder="1" applyAlignment="1">
      <alignment/>
    </xf>
    <xf numFmtId="37" fontId="77" fillId="16" borderId="39" xfId="0" applyFont="1" applyFill="1" applyBorder="1" applyAlignment="1">
      <alignment/>
    </xf>
    <xf numFmtId="37" fontId="31" fillId="24" borderId="39" xfId="0" applyFont="1" applyFill="1" applyBorder="1" applyAlignment="1">
      <alignment/>
    </xf>
    <xf numFmtId="37" fontId="73" fillId="24" borderId="39" xfId="0" applyFont="1" applyFill="1" applyBorder="1" applyAlignment="1">
      <alignment/>
    </xf>
    <xf numFmtId="37" fontId="73" fillId="0" borderId="39" xfId="0" applyFont="1" applyFill="1" applyBorder="1" applyAlignment="1">
      <alignment/>
    </xf>
    <xf numFmtId="37" fontId="73" fillId="24" borderId="39" xfId="0" applyFont="1" applyFill="1" applyBorder="1" applyAlignment="1">
      <alignment horizontal="center" wrapText="1"/>
    </xf>
    <xf numFmtId="37" fontId="77" fillId="24" borderId="39" xfId="0" applyFont="1" applyFill="1" applyBorder="1" applyAlignment="1">
      <alignment/>
    </xf>
    <xf numFmtId="37" fontId="72" fillId="24" borderId="39" xfId="0" applyFont="1" applyFill="1" applyBorder="1" applyAlignment="1">
      <alignment/>
    </xf>
    <xf numFmtId="37" fontId="72" fillId="0" borderId="0" xfId="0" applyFont="1" applyFill="1" applyAlignment="1">
      <alignment/>
    </xf>
    <xf numFmtId="37" fontId="80" fillId="22" borderId="39" xfId="0" applyFont="1" applyFill="1" applyBorder="1" applyAlignment="1">
      <alignment/>
    </xf>
    <xf numFmtId="37" fontId="80" fillId="0" borderId="39" xfId="0" applyFont="1" applyFill="1" applyBorder="1" applyAlignment="1">
      <alignment/>
    </xf>
    <xf numFmtId="37" fontId="80" fillId="16" borderId="39" xfId="0" applyFont="1" applyFill="1" applyBorder="1" applyAlignment="1">
      <alignment/>
    </xf>
    <xf numFmtId="37" fontId="80" fillId="10" borderId="39" xfId="0" applyFont="1" applyFill="1" applyBorder="1" applyAlignment="1">
      <alignment/>
    </xf>
    <xf numFmtId="37" fontId="80" fillId="24" borderId="39" xfId="0" applyFont="1" applyFill="1" applyBorder="1" applyAlignment="1">
      <alignment/>
    </xf>
    <xf numFmtId="37" fontId="80" fillId="0" borderId="0" xfId="0" applyFont="1" applyAlignment="1">
      <alignment/>
    </xf>
    <xf numFmtId="37" fontId="80" fillId="0" borderId="0" xfId="0" applyFont="1" applyFill="1" applyAlignment="1">
      <alignment/>
    </xf>
    <xf numFmtId="37" fontId="10" fillId="0" borderId="39" xfId="0" applyNumberFormat="1" applyFont="1" applyFill="1" applyBorder="1" applyAlignment="1" applyProtection="1">
      <alignment horizontal="left"/>
      <protection/>
    </xf>
    <xf numFmtId="37" fontId="9" fillId="0" borderId="0" xfId="0" applyFont="1" applyAlignment="1" applyProtection="1">
      <alignment horizontal="center"/>
      <protection/>
    </xf>
    <xf numFmtId="173" fontId="10" fillId="0" borderId="0" xfId="0" applyNumberFormat="1" applyFont="1" applyFill="1" applyAlignment="1" applyProtection="1">
      <alignment/>
      <protection/>
    </xf>
    <xf numFmtId="37" fontId="35" fillId="0" borderId="0" xfId="0" applyFont="1" applyAlignment="1" applyProtection="1">
      <alignment horizontal="right"/>
      <protection/>
    </xf>
    <xf numFmtId="37" fontId="35" fillId="0" borderId="61" xfId="0" applyFont="1" applyBorder="1" applyAlignment="1" applyProtection="1">
      <alignment/>
      <protection/>
    </xf>
    <xf numFmtId="6" fontId="54" fillId="0" borderId="0" xfId="50" applyNumberFormat="1" applyFont="1" applyBorder="1" applyAlignment="1" applyProtection="1">
      <alignment horizontal="right"/>
      <protection/>
    </xf>
    <xf numFmtId="37" fontId="35" fillId="0" borderId="62" xfId="0" applyFont="1" applyBorder="1" applyAlignment="1" applyProtection="1">
      <alignment/>
      <protection/>
    </xf>
    <xf numFmtId="49" fontId="54" fillId="0" borderId="0" xfId="0" applyNumberFormat="1" applyFont="1" applyBorder="1" applyAlignment="1" applyProtection="1">
      <alignment wrapText="1"/>
      <protection/>
    </xf>
    <xf numFmtId="37" fontId="0" fillId="22" borderId="0" xfId="0" applyFill="1" applyAlignment="1">
      <alignment horizontal="center"/>
    </xf>
    <xf numFmtId="176" fontId="31" fillId="0" borderId="0" xfId="42" applyNumberFormat="1" applyFont="1" applyAlignment="1">
      <alignment/>
    </xf>
    <xf numFmtId="176" fontId="0" fillId="0" borderId="0" xfId="42" applyNumberFormat="1" applyFont="1" applyAlignment="1">
      <alignment/>
    </xf>
    <xf numFmtId="37" fontId="0" fillId="0" borderId="0" xfId="0" applyFont="1" applyAlignment="1">
      <alignment horizontal="left" indent="1"/>
    </xf>
    <xf numFmtId="10" fontId="72" fillId="0" borderId="0" xfId="78" applyNumberFormat="1" applyFont="1" applyAlignment="1">
      <alignment/>
    </xf>
    <xf numFmtId="37" fontId="0" fillId="0" borderId="0" xfId="0" applyAlignment="1">
      <alignment horizontal="left" indent="1"/>
    </xf>
    <xf numFmtId="176" fontId="0" fillId="0" borderId="11" xfId="42" applyNumberFormat="1" applyFont="1" applyBorder="1" applyAlignment="1">
      <alignment/>
    </xf>
    <xf numFmtId="10" fontId="72" fillId="0" borderId="11" xfId="78" applyNumberFormat="1" applyFont="1" applyBorder="1" applyAlignment="1">
      <alignment/>
    </xf>
    <xf numFmtId="37" fontId="0" fillId="22" borderId="0" xfId="0" applyFont="1" applyFill="1" applyAlignment="1">
      <alignment horizontal="center"/>
    </xf>
    <xf numFmtId="176" fontId="31" fillId="0" borderId="63" xfId="42" applyNumberFormat="1" applyFont="1" applyBorder="1" applyAlignment="1">
      <alignment/>
    </xf>
    <xf numFmtId="176" fontId="31" fillId="0" borderId="0" xfId="42" applyNumberFormat="1" applyFont="1" applyBorder="1" applyAlignment="1">
      <alignment/>
    </xf>
    <xf numFmtId="176" fontId="31" fillId="0" borderId="0" xfId="42" applyNumberFormat="1" applyFont="1" applyAlignment="1">
      <alignment horizontal="center"/>
    </xf>
    <xf numFmtId="10" fontId="0" fillId="0" borderId="0" xfId="78" applyNumberFormat="1" applyFont="1" applyAlignment="1">
      <alignment/>
    </xf>
    <xf numFmtId="176" fontId="31" fillId="0" borderId="64" xfId="42" applyNumberFormat="1" applyFont="1" applyBorder="1" applyAlignment="1">
      <alignment/>
    </xf>
    <xf numFmtId="176" fontId="1" fillId="0" borderId="0" xfId="42" applyNumberFormat="1" applyFont="1" applyBorder="1" applyAlignment="1">
      <alignment/>
    </xf>
    <xf numFmtId="176" fontId="31" fillId="0" borderId="11" xfId="42" applyNumberFormat="1" applyFont="1" applyBorder="1" applyAlignment="1">
      <alignment/>
    </xf>
    <xf numFmtId="176" fontId="0" fillId="0" borderId="0" xfId="42" applyNumberFormat="1" applyFont="1" applyBorder="1" applyAlignment="1">
      <alignment/>
    </xf>
    <xf numFmtId="176" fontId="1" fillId="0" borderId="0" xfId="42" applyNumberFormat="1" applyFont="1" applyAlignment="1">
      <alignment/>
    </xf>
    <xf numFmtId="176" fontId="1" fillId="0" borderId="11" xfId="42" applyNumberFormat="1" applyFont="1" applyBorder="1" applyAlignment="1">
      <alignment/>
    </xf>
    <xf numFmtId="37" fontId="0" fillId="0" borderId="0" xfId="0" applyFont="1" applyAlignment="1">
      <alignment/>
    </xf>
    <xf numFmtId="176" fontId="31" fillId="0" borderId="65" xfId="42" applyNumberFormat="1" applyFont="1" applyBorder="1" applyAlignment="1">
      <alignment/>
    </xf>
    <xf numFmtId="43" fontId="73" fillId="0" borderId="0" xfId="42" applyFont="1" applyAlignment="1">
      <alignment horizontal="center"/>
    </xf>
    <xf numFmtId="43" fontId="31" fillId="0" borderId="0" xfId="42" applyFont="1" applyAlignment="1">
      <alignment/>
    </xf>
    <xf numFmtId="43" fontId="76" fillId="0" borderId="0" xfId="42" applyFont="1" applyAlignment="1">
      <alignment/>
    </xf>
    <xf numFmtId="37" fontId="0" fillId="22" borderId="0" xfId="0" applyFill="1" applyAlignment="1">
      <alignment horizontal="center" vertical="center"/>
    </xf>
    <xf numFmtId="37" fontId="81" fillId="23" borderId="66" xfId="0" applyFont="1" applyFill="1" applyBorder="1" applyAlignment="1" applyProtection="1">
      <alignment horizontal="center" vertical="center"/>
      <protection locked="0"/>
    </xf>
    <xf numFmtId="37" fontId="81" fillId="23" borderId="63" xfId="0" applyFont="1" applyFill="1" applyBorder="1" applyAlignment="1" applyProtection="1">
      <alignment horizontal="center" vertical="center"/>
      <protection locked="0"/>
    </xf>
    <xf numFmtId="176" fontId="81" fillId="23" borderId="63" xfId="46" applyNumberFormat="1" applyFont="1" applyFill="1" applyBorder="1" applyAlignment="1">
      <alignment horizontal="center" vertical="center"/>
    </xf>
    <xf numFmtId="37" fontId="81" fillId="23" borderId="46" xfId="0" applyFont="1" applyFill="1" applyBorder="1" applyAlignment="1" applyProtection="1">
      <alignment horizontal="center" vertical="center"/>
      <protection locked="0"/>
    </xf>
    <xf numFmtId="176" fontId="0" fillId="0" borderId="0" xfId="42" applyNumberFormat="1" applyFont="1" applyAlignment="1">
      <alignment vertical="center"/>
    </xf>
    <xf numFmtId="176" fontId="31" fillId="0" borderId="0" xfId="42" applyNumberFormat="1" applyFont="1" applyAlignment="1">
      <alignment vertical="center"/>
    </xf>
    <xf numFmtId="37" fontId="0" fillId="0" borderId="0" xfId="0" applyAlignment="1">
      <alignment vertical="center"/>
    </xf>
    <xf numFmtId="9" fontId="77" fillId="23" borderId="39" xfId="78" applyFont="1" applyFill="1" applyBorder="1" applyAlignment="1">
      <alignment vertical="center"/>
    </xf>
    <xf numFmtId="9" fontId="78" fillId="23" borderId="39" xfId="78" applyFont="1" applyFill="1" applyBorder="1" applyAlignment="1">
      <alignment vertical="center"/>
    </xf>
    <xf numFmtId="9" fontId="79" fillId="23" borderId="39" xfId="78" applyFont="1" applyFill="1" applyBorder="1" applyAlignment="1">
      <alignment vertical="center"/>
    </xf>
    <xf numFmtId="43" fontId="31" fillId="22" borderId="39" xfId="42" applyFont="1" applyFill="1" applyBorder="1" applyAlignment="1">
      <alignment/>
    </xf>
    <xf numFmtId="43" fontId="72" fillId="22" borderId="39" xfId="42" applyFont="1" applyFill="1" applyBorder="1" applyAlignment="1">
      <alignment/>
    </xf>
    <xf numFmtId="10" fontId="72" fillId="22" borderId="39" xfId="78" applyNumberFormat="1" applyFont="1" applyFill="1" applyBorder="1" applyAlignment="1">
      <alignment/>
    </xf>
    <xf numFmtId="10" fontId="72" fillId="0" borderId="39" xfId="78" applyNumberFormat="1" applyFont="1" applyFill="1" applyBorder="1" applyAlignment="1">
      <alignment/>
    </xf>
    <xf numFmtId="43" fontId="31" fillId="10" borderId="39" xfId="42" applyFont="1" applyFill="1" applyBorder="1" applyAlignment="1">
      <alignment/>
    </xf>
    <xf numFmtId="43" fontId="73" fillId="10" borderId="39" xfId="42" applyFont="1" applyFill="1" applyBorder="1" applyAlignment="1">
      <alignment/>
    </xf>
    <xf numFmtId="43" fontId="73" fillId="10" borderId="39" xfId="42" applyFont="1" applyFill="1" applyBorder="1" applyAlignment="1">
      <alignment horizontal="center" wrapText="1"/>
    </xf>
    <xf numFmtId="43" fontId="72" fillId="0" borderId="39" xfId="42" applyFont="1" applyFill="1" applyBorder="1" applyAlignment="1">
      <alignment/>
    </xf>
    <xf numFmtId="43" fontId="75" fillId="10" borderId="39" xfId="42" applyFont="1" applyFill="1" applyBorder="1" applyAlignment="1">
      <alignment/>
    </xf>
    <xf numFmtId="43" fontId="31" fillId="0" borderId="39" xfId="42" applyFont="1" applyFill="1" applyBorder="1" applyAlignment="1">
      <alignment/>
    </xf>
    <xf numFmtId="43" fontId="74" fillId="10" borderId="39" xfId="42" applyFont="1" applyFill="1" applyBorder="1" applyAlignment="1">
      <alignment/>
    </xf>
    <xf numFmtId="43" fontId="76" fillId="10" borderId="39" xfId="42" applyFont="1" applyFill="1" applyBorder="1" applyAlignment="1">
      <alignment/>
    </xf>
    <xf numFmtId="43" fontId="72" fillId="10" borderId="39" xfId="42" applyFont="1" applyFill="1" applyBorder="1" applyAlignment="1">
      <alignment/>
    </xf>
    <xf numFmtId="10" fontId="72" fillId="10" borderId="39" xfId="78" applyNumberFormat="1" applyFont="1" applyFill="1" applyBorder="1" applyAlignment="1">
      <alignment/>
    </xf>
    <xf numFmtId="10" fontId="72" fillId="16" borderId="39" xfId="78" applyNumberFormat="1" applyFont="1" applyFill="1" applyBorder="1" applyAlignment="1">
      <alignment/>
    </xf>
    <xf numFmtId="43" fontId="31" fillId="24" borderId="39" xfId="42" applyFont="1" applyFill="1" applyBorder="1" applyAlignment="1">
      <alignment/>
    </xf>
    <xf numFmtId="43" fontId="75" fillId="24" borderId="39" xfId="42" applyFont="1" applyFill="1" applyBorder="1" applyAlignment="1">
      <alignment/>
    </xf>
    <xf numFmtId="43" fontId="74" fillId="24" borderId="39" xfId="42" applyFont="1" applyFill="1" applyBorder="1" applyAlignment="1">
      <alignment/>
    </xf>
    <xf numFmtId="43" fontId="76" fillId="24" borderId="39" xfId="42" applyFont="1" applyFill="1" applyBorder="1" applyAlignment="1">
      <alignment/>
    </xf>
    <xf numFmtId="43" fontId="72" fillId="24" borderId="39" xfId="42" applyFont="1" applyFill="1" applyBorder="1" applyAlignment="1">
      <alignment/>
    </xf>
    <xf numFmtId="10" fontId="72" fillId="24" borderId="39" xfId="78" applyNumberFormat="1" applyFont="1" applyFill="1" applyBorder="1" applyAlignment="1">
      <alignment/>
    </xf>
    <xf numFmtId="43" fontId="72" fillId="0" borderId="0" xfId="42" applyFont="1" applyAlignment="1">
      <alignment/>
    </xf>
    <xf numFmtId="43" fontId="80" fillId="22" borderId="39" xfId="42" applyFont="1" applyFill="1" applyBorder="1" applyAlignment="1">
      <alignment/>
    </xf>
    <xf numFmtId="10" fontId="80" fillId="22" borderId="39" xfId="78" applyNumberFormat="1" applyFont="1" applyFill="1" applyBorder="1" applyAlignment="1">
      <alignment/>
    </xf>
    <xf numFmtId="10" fontId="80" fillId="16" borderId="39" xfId="78" applyNumberFormat="1" applyFont="1" applyFill="1" applyBorder="1" applyAlignment="1">
      <alignment/>
    </xf>
    <xf numFmtId="43" fontId="80" fillId="10" borderId="39" xfId="42" applyFont="1" applyFill="1" applyBorder="1" applyAlignment="1">
      <alignment/>
    </xf>
    <xf numFmtId="10" fontId="80" fillId="10" borderId="39" xfId="78" applyNumberFormat="1" applyFont="1" applyFill="1" applyBorder="1" applyAlignment="1">
      <alignment/>
    </xf>
    <xf numFmtId="43" fontId="80" fillId="0" borderId="39" xfId="42" applyFont="1" applyFill="1" applyBorder="1" applyAlignment="1">
      <alignment/>
    </xf>
    <xf numFmtId="43" fontId="80" fillId="24" borderId="39" xfId="42" applyFont="1" applyFill="1" applyBorder="1" applyAlignment="1">
      <alignment/>
    </xf>
    <xf numFmtId="6" fontId="35" fillId="0" borderId="0" xfId="0" applyNumberFormat="1" applyFont="1" applyBorder="1" applyAlignment="1" applyProtection="1">
      <alignment horizontal="right"/>
      <protection hidden="1"/>
    </xf>
    <xf numFmtId="37" fontId="49" fillId="0" borderId="0" xfId="0" applyFont="1" applyAlignment="1" applyProtection="1">
      <alignment/>
      <protection hidden="1"/>
    </xf>
    <xf numFmtId="189" fontId="41" fillId="16" borderId="59" xfId="0" applyNumberFormat="1" applyFont="1" applyFill="1" applyBorder="1" applyAlignment="1" applyProtection="1">
      <alignment horizontal="right"/>
      <protection locked="0"/>
    </xf>
    <xf numFmtId="176" fontId="0" fillId="25" borderId="0" xfId="42" applyNumberFormat="1" applyFont="1" applyFill="1" applyAlignment="1">
      <alignment/>
    </xf>
    <xf numFmtId="176" fontId="31" fillId="25" borderId="0" xfId="42" applyNumberFormat="1" applyFont="1" applyFill="1" applyAlignment="1">
      <alignment/>
    </xf>
    <xf numFmtId="176" fontId="0" fillId="25" borderId="11" xfId="42" applyNumberFormat="1" applyFont="1" applyFill="1" applyBorder="1" applyAlignment="1">
      <alignment/>
    </xf>
    <xf numFmtId="176" fontId="1" fillId="25" borderId="11" xfId="42" applyNumberFormat="1" applyFont="1" applyFill="1" applyBorder="1" applyAlignment="1">
      <alignment/>
    </xf>
    <xf numFmtId="43" fontId="76" fillId="25" borderId="0" xfId="42" applyFont="1" applyFill="1" applyAlignment="1">
      <alignment/>
    </xf>
    <xf numFmtId="37" fontId="69" fillId="25" borderId="0" xfId="0" applyFont="1" applyFill="1" applyAlignment="1">
      <alignment/>
    </xf>
    <xf numFmtId="37" fontId="72" fillId="25" borderId="0" xfId="0" applyFont="1" applyFill="1" applyAlignment="1">
      <alignment/>
    </xf>
    <xf numFmtId="37" fontId="34" fillId="0" borderId="0" xfId="0" applyFont="1" applyAlignment="1" applyProtection="1">
      <alignment horizontal="center"/>
      <protection hidden="1"/>
    </xf>
    <xf numFmtId="37" fontId="71" fillId="0" borderId="0" xfId="0" applyFont="1" applyAlignment="1">
      <alignment horizontal="center"/>
    </xf>
    <xf numFmtId="37" fontId="0" fillId="24" borderId="0" xfId="0" applyFill="1" applyAlignment="1">
      <alignment horizontal="center"/>
    </xf>
    <xf numFmtId="37" fontId="0" fillId="17" borderId="0" xfId="0" applyFill="1" applyAlignment="1">
      <alignment horizontal="center"/>
    </xf>
    <xf numFmtId="176" fontId="31" fillId="0" borderId="0" xfId="42" applyNumberFormat="1" applyFont="1" applyAlignment="1">
      <alignment horizontal="center"/>
    </xf>
    <xf numFmtId="37" fontId="0" fillId="0" borderId="0" xfId="0" applyAlignment="1">
      <alignment/>
    </xf>
    <xf numFmtId="176" fontId="74" fillId="0" borderId="0" xfId="42" applyNumberFormat="1" applyFont="1" applyAlignment="1">
      <alignment horizontal="center" wrapText="1"/>
    </xf>
    <xf numFmtId="37" fontId="75" fillId="0" borderId="0" xfId="0" applyFont="1" applyAlignment="1">
      <alignment wrapText="1"/>
    </xf>
    <xf numFmtId="37" fontId="38" fillId="0" borderId="25" xfId="0" applyFont="1" applyFill="1" applyBorder="1" applyAlignment="1" applyProtection="1">
      <alignment horizontal="left"/>
      <protection hidden="1"/>
    </xf>
    <xf numFmtId="37" fontId="35" fillId="0" borderId="25" xfId="0" applyFont="1" applyFill="1" applyBorder="1" applyAlignment="1" applyProtection="1">
      <alignment/>
      <protection hidden="1"/>
    </xf>
    <xf numFmtId="37" fontId="55" fillId="16" borderId="67" xfId="0" applyFont="1" applyFill="1" applyBorder="1" applyAlignment="1" applyProtection="1">
      <alignment vertical="top" wrapText="1"/>
      <protection locked="0"/>
    </xf>
    <xf numFmtId="37" fontId="55" fillId="16" borderId="68" xfId="0" applyFont="1" applyFill="1" applyBorder="1" applyAlignment="1" applyProtection="1">
      <alignment vertical="top" wrapText="1"/>
      <protection locked="0"/>
    </xf>
    <xf numFmtId="37" fontId="55" fillId="16" borderId="69" xfId="0" applyFont="1" applyFill="1" applyBorder="1" applyAlignment="1" applyProtection="1">
      <alignment vertical="top" wrapText="1"/>
      <protection locked="0"/>
    </xf>
    <xf numFmtId="37" fontId="55" fillId="16" borderId="70" xfId="0" applyFont="1" applyFill="1" applyBorder="1" applyAlignment="1" applyProtection="1">
      <alignment vertical="top" wrapText="1"/>
      <protection locked="0"/>
    </xf>
    <xf numFmtId="37" fontId="55" fillId="16" borderId="0" xfId="0" applyFont="1" applyFill="1" applyBorder="1" applyAlignment="1" applyProtection="1">
      <alignment vertical="top" wrapText="1"/>
      <protection locked="0"/>
    </xf>
    <xf numFmtId="37" fontId="55" fillId="16" borderId="71" xfId="0" applyFont="1" applyFill="1" applyBorder="1" applyAlignment="1" applyProtection="1">
      <alignment vertical="top" wrapText="1"/>
      <protection locked="0"/>
    </xf>
    <xf numFmtId="37" fontId="55" fillId="16" borderId="72" xfId="0" applyFont="1" applyFill="1" applyBorder="1" applyAlignment="1" applyProtection="1">
      <alignment vertical="top" wrapText="1"/>
      <protection locked="0"/>
    </xf>
    <xf numFmtId="37" fontId="55" fillId="16" borderId="18" xfId="0" applyFont="1" applyFill="1" applyBorder="1" applyAlignment="1" applyProtection="1">
      <alignment vertical="top" wrapText="1"/>
      <protection locked="0"/>
    </xf>
    <xf numFmtId="37" fontId="55" fillId="16" borderId="73" xfId="0" applyFont="1" applyFill="1" applyBorder="1" applyAlignment="1" applyProtection="1">
      <alignment vertical="top" wrapText="1"/>
      <protection locked="0"/>
    </xf>
    <xf numFmtId="37" fontId="38" fillId="0" borderId="25" xfId="0" applyFont="1" applyBorder="1" applyAlignment="1" applyProtection="1">
      <alignment horizontal="left"/>
      <protection hidden="1"/>
    </xf>
    <xf numFmtId="37" fontId="35" fillId="0" borderId="25" xfId="0" applyFont="1" applyBorder="1" applyAlignment="1" applyProtection="1">
      <alignment/>
      <protection hidden="1"/>
    </xf>
    <xf numFmtId="37" fontId="4" fillId="0" borderId="0" xfId="0" applyFont="1" applyFill="1" applyAlignment="1" applyProtection="1">
      <alignment horizontal="center"/>
      <protection/>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3" xfId="47"/>
    <cellStyle name="Comma 3 2" xfId="48"/>
    <cellStyle name="Comma 4" xfId="49"/>
    <cellStyle name="Currency" xfId="50"/>
    <cellStyle name="Currency [0]" xfId="51"/>
    <cellStyle name="Currency 2" xfId="52"/>
    <cellStyle name="Currency 2 2" xfId="53"/>
    <cellStyle name="Currency 3" xfId="54"/>
    <cellStyle name="Currency 4"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2 2" xfId="69"/>
    <cellStyle name="Normal 2 3" xfId="70"/>
    <cellStyle name="Normal 2_Special Ed P-2" xfId="71"/>
    <cellStyle name="Normal 3" xfId="72"/>
    <cellStyle name="Normal 4" xfId="73"/>
    <cellStyle name="Normal 5" xfId="74"/>
    <cellStyle name="Normal_Cashflow Worksheet" xfId="75"/>
    <cellStyle name="Note" xfId="76"/>
    <cellStyle name="Output" xfId="77"/>
    <cellStyle name="Percent" xfId="78"/>
    <cellStyle name="Percent 2" xfId="79"/>
    <cellStyle name="Percent 2 2" xfId="80"/>
    <cellStyle name="Percent 3" xfId="81"/>
    <cellStyle name="Percent 4" xfId="82"/>
    <cellStyle name="Percent 5" xfId="83"/>
    <cellStyle name="PSChar" xfId="84"/>
    <cellStyle name="PSDate" xfId="85"/>
    <cellStyle name="PSDec" xfId="86"/>
    <cellStyle name="PSHeading" xfId="87"/>
    <cellStyle name="PSInt" xfId="88"/>
    <cellStyle name="PSSpacer" xfId="89"/>
    <cellStyle name="Title" xfId="90"/>
    <cellStyle name="Total" xfId="91"/>
    <cellStyle name="Warning Text" xfId="92"/>
  </cellStyles>
  <dxfs count="9">
    <dxf>
      <font>
        <color indexed="9"/>
      </font>
    </dxf>
    <dxf>
      <font>
        <color indexed="10"/>
      </font>
    </dxf>
    <dxf>
      <font>
        <color indexed="10"/>
      </font>
    </dxf>
    <dxf>
      <font>
        <color indexed="10"/>
      </font>
    </dxf>
    <dxf>
      <font>
        <b/>
        <i val="0"/>
        <color indexed="10"/>
      </font>
    </dxf>
    <dxf>
      <font>
        <b/>
        <i val="0"/>
        <color indexed="10"/>
      </font>
    </dxf>
    <dxf>
      <font>
        <color indexed="12"/>
      </font>
    </dxf>
    <dxf>
      <font>
        <color indexed="12"/>
      </font>
    </dxf>
    <dxf>
      <font>
        <color rgb="FF000000"/>
      </font>
      <fill>
        <patternFill>
          <bgColor rgb="FFA6CAF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ich\Desktop\Desktop%20Client%20Files\SCCOE\Cash%20Flow%20Training\Master%20Template%20(10-10-11)%202011-12%20Cash%20Flow%20Proj%20Wksh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Tab"/>
      <sheetName val="2011-12 Monthly Rev. Cash Flow"/>
      <sheetName val="Monthly Principal Apportionment"/>
      <sheetName val="Weighted Average Calculation"/>
      <sheetName val="Alt. Cash Flow for Prin. Appt."/>
      <sheetName val="AR &amp; AP"/>
    </sheetNames>
    <sheetDataSet>
      <sheetData sheetId="0">
        <row r="1">
          <cell r="A1" t="str">
            <v>"Master Template" School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de.ca.gov/fg/aa/ca/estcashflow.asp" TargetMode="External" /><Relationship Id="rId2" Type="http://schemas.openxmlformats.org/officeDocument/2006/relationships/hyperlink" Target="http://www.cde.ca.gov/fg/aa/ca/estcashflow.asp" TargetMode="Externa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tabSelected="1" workbookViewId="0" topLeftCell="A1">
      <selection activeCell="C9" sqref="C9"/>
    </sheetView>
  </sheetViews>
  <sheetFormatPr defaultColWidth="10.6640625" defaultRowHeight="15"/>
  <cols>
    <col min="1" max="1" width="3.77734375" style="78" customWidth="1"/>
    <col min="2" max="2" width="4.21484375" style="78" customWidth="1"/>
    <col min="3" max="3" width="66.21484375" style="297" customWidth="1"/>
    <col min="4" max="5" width="10.6640625" style="78" customWidth="1"/>
    <col min="6" max="6" width="13.3359375" style="78" customWidth="1"/>
    <col min="7" max="16384" width="10.6640625" style="78" customWidth="1"/>
  </cols>
  <sheetData>
    <row r="1" spans="1:3" ht="21">
      <c r="A1" s="444" t="s">
        <v>383</v>
      </c>
      <c r="B1" s="444"/>
      <c r="C1" s="444"/>
    </row>
    <row r="2" spans="1:3" ht="21">
      <c r="A2" s="444" t="s">
        <v>405</v>
      </c>
      <c r="B2" s="444"/>
      <c r="C2" s="444"/>
    </row>
    <row r="3" spans="1:3" ht="21">
      <c r="A3" s="444" t="s">
        <v>235</v>
      </c>
      <c r="B3" s="444"/>
      <c r="C3" s="444"/>
    </row>
    <row r="5" ht="12.75">
      <c r="A5" s="78" t="s">
        <v>397</v>
      </c>
    </row>
    <row r="7" ht="12.75">
      <c r="B7" s="78" t="s">
        <v>53</v>
      </c>
    </row>
    <row r="8" ht="103.5">
      <c r="C8" s="297" t="s">
        <v>407</v>
      </c>
    </row>
    <row r="10" ht="12.75">
      <c r="B10" s="78" t="s">
        <v>54</v>
      </c>
    </row>
    <row r="11" ht="90.75">
      <c r="C11" s="297" t="s">
        <v>406</v>
      </c>
    </row>
    <row r="13" ht="13.5" customHeight="1">
      <c r="B13" s="78" t="s">
        <v>262</v>
      </c>
    </row>
    <row r="14" ht="25.5">
      <c r="C14" s="297" t="s">
        <v>28</v>
      </c>
    </row>
    <row r="16" ht="12.75">
      <c r="C16" s="297" t="s">
        <v>6</v>
      </c>
    </row>
    <row r="18" ht="12.75">
      <c r="B18" s="78" t="s">
        <v>236</v>
      </c>
    </row>
    <row r="19" ht="25.5">
      <c r="C19" s="297" t="s">
        <v>312</v>
      </c>
    </row>
    <row r="21" ht="12.75">
      <c r="B21" s="78" t="s">
        <v>146</v>
      </c>
    </row>
    <row r="22" ht="39">
      <c r="C22" s="297" t="s">
        <v>368</v>
      </c>
    </row>
    <row r="24" ht="12.75">
      <c r="B24" s="78" t="s">
        <v>313</v>
      </c>
    </row>
    <row r="25" ht="25.5">
      <c r="C25" s="297" t="s">
        <v>29</v>
      </c>
    </row>
    <row r="27" ht="39">
      <c r="C27" s="297" t="s">
        <v>393</v>
      </c>
    </row>
    <row r="29" ht="12.75">
      <c r="B29" s="78" t="s">
        <v>7</v>
      </c>
    </row>
    <row r="30" ht="12.75">
      <c r="C30" s="297" t="s">
        <v>396</v>
      </c>
    </row>
    <row r="32" ht="12.75">
      <c r="B32" s="265" t="s">
        <v>387</v>
      </c>
    </row>
    <row r="33" ht="39">
      <c r="C33" s="297" t="s">
        <v>4</v>
      </c>
    </row>
    <row r="35" ht="13.5" customHeight="1">
      <c r="B35" s="265" t="s">
        <v>388</v>
      </c>
    </row>
    <row r="36" ht="39">
      <c r="C36" s="297" t="s">
        <v>5</v>
      </c>
    </row>
  </sheetData>
  <mergeCells count="3">
    <mergeCell ref="A1:C1"/>
    <mergeCell ref="A3:C3"/>
    <mergeCell ref="A2:C2"/>
  </mergeCells>
  <printOptions horizontalCentered="1"/>
  <pageMargins left="0.25" right="0.25" top="0.5" bottom="0.5" header="0.5" footer="0.5"/>
  <pageSetup fitToHeight="0" fitToWidth="1" orientation="portrait" scale="97"/>
  <headerFooter alignWithMargins="0">
    <oddFooter>&amp;L&amp;"Times,Regular"Page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48"/>
  <sheetViews>
    <sheetView workbookViewId="0" topLeftCell="A1">
      <selection activeCell="B23" sqref="B23"/>
    </sheetView>
  </sheetViews>
  <sheetFormatPr defaultColWidth="11.77734375" defaultRowHeight="15"/>
  <cols>
    <col min="1" max="1" width="19.99609375" style="291" customWidth="1"/>
    <col min="2" max="2" width="9.99609375" style="291" customWidth="1"/>
    <col min="3" max="7" width="9.10546875" style="291" customWidth="1"/>
    <col min="8" max="8" width="8.4453125" style="291" customWidth="1"/>
    <col min="9" max="14" width="9.10546875" style="291" customWidth="1"/>
    <col min="15" max="15" width="10.88671875" style="291" customWidth="1"/>
    <col min="16" max="16" width="9.88671875" style="275" customWidth="1"/>
    <col min="17" max="16384" width="11.77734375" style="279" customWidth="1"/>
  </cols>
  <sheetData>
    <row r="1" spans="1:15" s="274" customFormat="1" ht="15.75">
      <c r="A1" s="273" t="str">
        <f>'Summary Tab'!A1</f>
        <v>"Master Template" School District</v>
      </c>
      <c r="B1" s="273"/>
      <c r="C1" s="273"/>
      <c r="D1" s="273"/>
      <c r="E1" s="273"/>
      <c r="F1" s="273"/>
      <c r="G1" s="273"/>
      <c r="H1" s="273"/>
      <c r="I1" s="273"/>
      <c r="J1" s="273"/>
      <c r="K1" s="465" t="s">
        <v>208</v>
      </c>
      <c r="L1" s="465"/>
      <c r="M1" s="465"/>
      <c r="N1" s="465"/>
      <c r="O1" s="363">
        <f>+P1*1</f>
        <v>0</v>
      </c>
    </row>
    <row r="2" spans="1:16" ht="11.25" customHeight="1">
      <c r="A2" s="275"/>
      <c r="B2" s="275"/>
      <c r="C2" s="275"/>
      <c r="D2" s="275"/>
      <c r="E2" s="276"/>
      <c r="F2" s="275"/>
      <c r="G2" s="275"/>
      <c r="H2" s="275"/>
      <c r="I2" s="277"/>
      <c r="J2" s="276"/>
      <c r="K2" s="278"/>
      <c r="L2" s="275"/>
      <c r="M2" s="275"/>
      <c r="N2" s="275"/>
      <c r="O2" s="275"/>
      <c r="P2" s="279"/>
    </row>
    <row r="3" spans="1:16" ht="11.25">
      <c r="A3" s="364"/>
      <c r="B3" s="280">
        <v>7</v>
      </c>
      <c r="C3" s="281">
        <v>8</v>
      </c>
      <c r="D3" s="281">
        <v>9</v>
      </c>
      <c r="E3" s="281">
        <v>10</v>
      </c>
      <c r="F3" s="281">
        <v>11</v>
      </c>
      <c r="G3" s="244" t="s">
        <v>215</v>
      </c>
      <c r="H3" s="244" t="s">
        <v>216</v>
      </c>
      <c r="I3" s="281">
        <v>1</v>
      </c>
      <c r="J3" s="281">
        <v>2</v>
      </c>
      <c r="K3" s="281">
        <v>3</v>
      </c>
      <c r="L3" s="281">
        <v>4</v>
      </c>
      <c r="M3" s="281">
        <v>5</v>
      </c>
      <c r="N3" s="281">
        <v>6</v>
      </c>
      <c r="O3" s="282"/>
      <c r="P3" s="279"/>
    </row>
    <row r="4" spans="1:15" s="284" customFormat="1" ht="25.5" customHeight="1">
      <c r="A4" s="283"/>
      <c r="B4" s="283" t="s">
        <v>180</v>
      </c>
      <c r="C4" s="283" t="s">
        <v>182</v>
      </c>
      <c r="D4" s="283" t="s">
        <v>183</v>
      </c>
      <c r="E4" s="283" t="s">
        <v>184</v>
      </c>
      <c r="F4" s="283" t="s">
        <v>185</v>
      </c>
      <c r="G4" s="283" t="s">
        <v>205</v>
      </c>
      <c r="H4" s="283"/>
      <c r="I4" s="283" t="s">
        <v>206</v>
      </c>
      <c r="J4" s="283" t="s">
        <v>207</v>
      </c>
      <c r="K4" s="283" t="s">
        <v>253</v>
      </c>
      <c r="L4" s="283" t="s">
        <v>254</v>
      </c>
      <c r="M4" s="283" t="s">
        <v>255</v>
      </c>
      <c r="N4" s="245" t="s">
        <v>256</v>
      </c>
      <c r="O4" s="246" t="s">
        <v>257</v>
      </c>
    </row>
    <row r="5" spans="1:16" ht="11.25" customHeight="1">
      <c r="A5" s="248" t="s">
        <v>242</v>
      </c>
      <c r="B5" s="247"/>
      <c r="C5" s="247"/>
      <c r="D5" s="247"/>
      <c r="E5" s="247"/>
      <c r="F5" s="247"/>
      <c r="G5" s="247"/>
      <c r="H5" s="247"/>
      <c r="I5" s="247"/>
      <c r="J5" s="247"/>
      <c r="K5" s="247"/>
      <c r="L5" s="247"/>
      <c r="M5" s="247"/>
      <c r="N5" s="245"/>
      <c r="O5" s="246"/>
      <c r="P5" s="279"/>
    </row>
    <row r="6" spans="1:15" s="284" customFormat="1" ht="11.25" customHeight="1">
      <c r="A6" s="250" t="s">
        <v>240</v>
      </c>
      <c r="B6" s="247"/>
      <c r="C6" s="247"/>
      <c r="D6" s="247"/>
      <c r="E6" s="247"/>
      <c r="F6" s="247"/>
      <c r="G6" s="247"/>
      <c r="H6" s="247"/>
      <c r="I6" s="247"/>
      <c r="J6" s="247"/>
      <c r="K6" s="247"/>
      <c r="L6" s="247"/>
      <c r="M6" s="247"/>
      <c r="N6" s="245"/>
      <c r="O6" s="246"/>
    </row>
    <row r="7" spans="1:15" s="284" customFormat="1" ht="11.25" customHeight="1">
      <c r="A7" s="250" t="s">
        <v>241</v>
      </c>
      <c r="B7" s="247"/>
      <c r="C7" s="247"/>
      <c r="D7" s="247"/>
      <c r="E7" s="247"/>
      <c r="F7" s="247"/>
      <c r="G7" s="247"/>
      <c r="H7" s="247"/>
      <c r="I7" s="247"/>
      <c r="J7" s="247"/>
      <c r="K7" s="247"/>
      <c r="L7" s="247"/>
      <c r="M7" s="247"/>
      <c r="N7" s="245"/>
      <c r="O7" s="246"/>
    </row>
    <row r="8" spans="1:15" s="284" customFormat="1" ht="11.25" customHeight="1">
      <c r="A8" s="252"/>
      <c r="B8" s="247"/>
      <c r="C8" s="247"/>
      <c r="D8" s="247"/>
      <c r="E8" s="247"/>
      <c r="F8" s="247"/>
      <c r="G8" s="247"/>
      <c r="H8" s="247"/>
      <c r="I8" s="247"/>
      <c r="J8" s="247"/>
      <c r="K8" s="247"/>
      <c r="L8" s="247"/>
      <c r="M8" s="247"/>
      <c r="N8" s="245"/>
      <c r="O8" s="246"/>
    </row>
    <row r="9" spans="1:15" s="284" customFormat="1" ht="11.25" customHeight="1">
      <c r="A9" s="248" t="s">
        <v>127</v>
      </c>
      <c r="B9" s="249">
        <f>'10-11'!N46</f>
        <v>3508009.1</v>
      </c>
      <c r="C9" s="249">
        <f>B41</f>
        <v>3508009.1</v>
      </c>
      <c r="D9" s="249">
        <f aca="true" t="shared" si="0" ref="D9:N9">C41</f>
        <v>3508009.1</v>
      </c>
      <c r="E9" s="249">
        <f t="shared" si="0"/>
        <v>3508009.1</v>
      </c>
      <c r="F9" s="249">
        <f t="shared" si="0"/>
        <v>3508009.1</v>
      </c>
      <c r="G9" s="249">
        <f t="shared" si="0"/>
        <v>3508009.1</v>
      </c>
      <c r="H9" s="249">
        <f t="shared" si="0"/>
        <v>3508009.1</v>
      </c>
      <c r="I9" s="249">
        <f t="shared" si="0"/>
        <v>3508009.1</v>
      </c>
      <c r="J9" s="249">
        <f t="shared" si="0"/>
        <v>3508009.1</v>
      </c>
      <c r="K9" s="249">
        <f t="shared" si="0"/>
        <v>3508009.1</v>
      </c>
      <c r="L9" s="249">
        <f t="shared" si="0"/>
        <v>3508009.1</v>
      </c>
      <c r="M9" s="249">
        <f t="shared" si="0"/>
        <v>3508009.1</v>
      </c>
      <c r="N9" s="249">
        <f t="shared" si="0"/>
        <v>3508009.1</v>
      </c>
      <c r="O9" s="253">
        <f>B9</f>
        <v>3508009.1</v>
      </c>
    </row>
    <row r="10" spans="1:16" s="284" customFormat="1" ht="11.25" customHeight="1">
      <c r="A10" s="254" t="s">
        <v>155</v>
      </c>
      <c r="B10" s="266">
        <f>Restricted!$AB$36</f>
        <v>0</v>
      </c>
      <c r="C10" s="266">
        <f>Restricted!$AB$36</f>
        <v>0</v>
      </c>
      <c r="D10" s="266">
        <f>Restricted!$AB$36</f>
        <v>0</v>
      </c>
      <c r="E10" s="266">
        <f>Restricted!$AB$36</f>
        <v>0</v>
      </c>
      <c r="F10" s="266">
        <f>Restricted!$AB$36</f>
        <v>0</v>
      </c>
      <c r="G10" s="266">
        <f>Restricted!$AB$36</f>
        <v>0</v>
      </c>
      <c r="H10" s="310"/>
      <c r="I10" s="266">
        <f>Restricted!$AB$36</f>
        <v>0</v>
      </c>
      <c r="J10" s="266">
        <f>Restricted!$AB$36</f>
        <v>0</v>
      </c>
      <c r="K10" s="266">
        <f>Restricted!$AB$36</f>
        <v>0</v>
      </c>
      <c r="L10" s="266">
        <f>Restricted!$AB$36</f>
        <v>0</v>
      </c>
      <c r="M10" s="266">
        <f>Restricted!$AB$36</f>
        <v>0</v>
      </c>
      <c r="N10" s="266">
        <f>P10-SUM(B10:M10)</f>
        <v>0</v>
      </c>
      <c r="O10" s="262">
        <f>SUM(B10:N10)</f>
        <v>0</v>
      </c>
      <c r="P10" s="251">
        <f>Restricted!$AB$36*12</f>
        <v>0</v>
      </c>
    </row>
    <row r="11" spans="1:16" s="284" customFormat="1" ht="11.25" customHeight="1">
      <c r="A11" s="254" t="s">
        <v>193</v>
      </c>
      <c r="B11" s="266">
        <f>-Alternative!$AB$33</f>
        <v>0</v>
      </c>
      <c r="C11" s="266">
        <f>-Alternative!$AB$33</f>
        <v>0</v>
      </c>
      <c r="D11" s="266">
        <f>-Alternative!$AB$33</f>
        <v>0</v>
      </c>
      <c r="E11" s="266">
        <f>-Alternative!$AB$33</f>
        <v>0</v>
      </c>
      <c r="F11" s="266">
        <f>-Alternative!$AB$33</f>
        <v>0</v>
      </c>
      <c r="G11" s="266">
        <f>-Alternative!$AB$33</f>
        <v>0</v>
      </c>
      <c r="H11" s="266"/>
      <c r="I11" s="266">
        <f>-Alternative!$AB$33</f>
        <v>0</v>
      </c>
      <c r="J11" s="266">
        <f>-Alternative!$AB$33</f>
        <v>0</v>
      </c>
      <c r="K11" s="266">
        <f>-Alternative!$AB$33</f>
        <v>0</v>
      </c>
      <c r="L11" s="266">
        <f>-Alternative!$AB$33</f>
        <v>0</v>
      </c>
      <c r="M11" s="266">
        <f>-Alternative!$AB$33</f>
        <v>0</v>
      </c>
      <c r="N11" s="266">
        <f>P11-SUM(B11:M11)</f>
        <v>0</v>
      </c>
      <c r="O11" s="262">
        <f>SUM(B11:N11)</f>
        <v>0</v>
      </c>
      <c r="P11" s="251">
        <f>-Alternative!$AB$33*12</f>
        <v>0</v>
      </c>
    </row>
    <row r="12" spans="1:15" s="284" customFormat="1" ht="11.25" customHeight="1">
      <c r="A12" s="259" t="s">
        <v>133</v>
      </c>
      <c r="B12" s="249">
        <f>B9+B10+B11</f>
        <v>3508009.1</v>
      </c>
      <c r="C12" s="249">
        <f aca="true" t="shared" si="1" ref="C12:H12">C9+C10+C11</f>
        <v>3508009.1</v>
      </c>
      <c r="D12" s="249">
        <f t="shared" si="1"/>
        <v>3508009.1</v>
      </c>
      <c r="E12" s="249">
        <f t="shared" si="1"/>
        <v>3508009.1</v>
      </c>
      <c r="F12" s="249">
        <f t="shared" si="1"/>
        <v>3508009.1</v>
      </c>
      <c r="G12" s="249">
        <f t="shared" si="1"/>
        <v>3508009.1</v>
      </c>
      <c r="H12" s="249">
        <f t="shared" si="1"/>
        <v>3508009.1</v>
      </c>
      <c r="I12" s="249">
        <f aca="true" t="shared" si="2" ref="I12:O12">I9+I10+I11</f>
        <v>3508009.1</v>
      </c>
      <c r="J12" s="249">
        <f t="shared" si="2"/>
        <v>3508009.1</v>
      </c>
      <c r="K12" s="249">
        <f t="shared" si="2"/>
        <v>3508009.1</v>
      </c>
      <c r="L12" s="249">
        <f t="shared" si="2"/>
        <v>3508009.1</v>
      </c>
      <c r="M12" s="249">
        <f t="shared" si="2"/>
        <v>3508009.1</v>
      </c>
      <c r="N12" s="249">
        <f t="shared" si="2"/>
        <v>3508009.1</v>
      </c>
      <c r="O12" s="249">
        <f t="shared" si="2"/>
        <v>3508009.1</v>
      </c>
    </row>
    <row r="13" spans="1:15" s="284" customFormat="1" ht="11.25" customHeight="1">
      <c r="A13" s="248"/>
      <c r="B13" s="247"/>
      <c r="C13" s="247"/>
      <c r="D13" s="247"/>
      <c r="E13" s="247"/>
      <c r="F13" s="247"/>
      <c r="G13" s="247"/>
      <c r="H13" s="247"/>
      <c r="I13" s="247"/>
      <c r="J13" s="247"/>
      <c r="K13" s="247"/>
      <c r="L13" s="247"/>
      <c r="M13" s="247"/>
      <c r="N13" s="245"/>
      <c r="O13" s="246"/>
    </row>
    <row r="14" spans="1:16" ht="11.25" customHeight="1">
      <c r="A14" s="250" t="s">
        <v>336</v>
      </c>
      <c r="B14" s="266"/>
      <c r="C14" s="266"/>
      <c r="D14" s="266"/>
      <c r="E14" s="266"/>
      <c r="F14" s="266"/>
      <c r="G14" s="266"/>
      <c r="H14" s="266"/>
      <c r="I14" s="266"/>
      <c r="J14" s="266"/>
      <c r="K14" s="266"/>
      <c r="L14" s="266"/>
      <c r="M14" s="266"/>
      <c r="N14" s="266"/>
      <c r="O14" s="262"/>
      <c r="P14" s="279"/>
    </row>
    <row r="15" spans="1:16" ht="11.25" customHeight="1">
      <c r="A15" s="250" t="s">
        <v>38</v>
      </c>
      <c r="B15" s="266">
        <f>'Summary Tab'!C9</f>
        <v>0</v>
      </c>
      <c r="C15" s="266">
        <f>'Summary Tab'!D9</f>
        <v>0</v>
      </c>
      <c r="D15" s="266">
        <f>'Summary Tab'!E9</f>
        <v>0</v>
      </c>
      <c r="E15" s="266">
        <f>'Summary Tab'!F9</f>
        <v>0</v>
      </c>
      <c r="F15" s="266">
        <f>'Summary Tab'!G9</f>
        <v>0</v>
      </c>
      <c r="G15" s="266">
        <f>'Summary Tab'!H9</f>
        <v>0</v>
      </c>
      <c r="H15" s="266"/>
      <c r="I15" s="266">
        <f>'Summary Tab'!I9</f>
        <v>0</v>
      </c>
      <c r="J15" s="266">
        <f>'Summary Tab'!J9</f>
        <v>0</v>
      </c>
      <c r="K15" s="266">
        <f>'Summary Tab'!K9</f>
        <v>0</v>
      </c>
      <c r="L15" s="266">
        <f>'Summary Tab'!L9</f>
        <v>0</v>
      </c>
      <c r="M15" s="266">
        <f>'Summary Tab'!M9</f>
        <v>0</v>
      </c>
      <c r="N15" s="266">
        <f>'Summary Tab'!N9</f>
        <v>0</v>
      </c>
      <c r="O15" s="262">
        <f aca="true" t="shared" si="3" ref="O15:O23">SUM(B15:N15)</f>
        <v>0</v>
      </c>
      <c r="P15" s="279"/>
    </row>
    <row r="16" spans="1:16" ht="11.25" customHeight="1">
      <c r="A16" s="250" t="s">
        <v>39</v>
      </c>
      <c r="B16" s="266">
        <f>'Summary Tab'!C10</f>
        <v>0</v>
      </c>
      <c r="C16" s="266">
        <f>'Summary Tab'!D10</f>
        <v>0</v>
      </c>
      <c r="D16" s="266">
        <f>'Summary Tab'!E10</f>
        <v>0</v>
      </c>
      <c r="E16" s="266">
        <f>'Summary Tab'!F10</f>
        <v>0</v>
      </c>
      <c r="F16" s="266">
        <f>'Summary Tab'!G10</f>
        <v>0</v>
      </c>
      <c r="G16" s="266">
        <f>'Summary Tab'!H10</f>
        <v>0</v>
      </c>
      <c r="H16" s="266"/>
      <c r="I16" s="266">
        <f>'Summary Tab'!I10</f>
        <v>0</v>
      </c>
      <c r="J16" s="266">
        <f>'Summary Tab'!J10</f>
        <v>0</v>
      </c>
      <c r="K16" s="266">
        <f>'Summary Tab'!K10</f>
        <v>0</v>
      </c>
      <c r="L16" s="266">
        <f>'Summary Tab'!L10</f>
        <v>0</v>
      </c>
      <c r="M16" s="266">
        <f>'Summary Tab'!M10</f>
        <v>0</v>
      </c>
      <c r="N16" s="266">
        <f>'Summary Tab'!N10</f>
        <v>0</v>
      </c>
      <c r="O16" s="262">
        <f t="shared" si="3"/>
        <v>0</v>
      </c>
      <c r="P16" s="279"/>
    </row>
    <row r="17" spans="1:16" ht="11.25" customHeight="1">
      <c r="A17" s="250" t="s">
        <v>40</v>
      </c>
      <c r="B17" s="266">
        <f>'Summary Tab'!C11</f>
        <v>0</v>
      </c>
      <c r="C17" s="266">
        <f>'Summary Tab'!D11</f>
        <v>0</v>
      </c>
      <c r="D17" s="266">
        <f>'Summary Tab'!E11</f>
        <v>0</v>
      </c>
      <c r="E17" s="266">
        <f>'Summary Tab'!F11</f>
        <v>0</v>
      </c>
      <c r="F17" s="266">
        <f>'Summary Tab'!G11</f>
        <v>0</v>
      </c>
      <c r="G17" s="266">
        <f>'Summary Tab'!H11</f>
        <v>0</v>
      </c>
      <c r="H17" s="266"/>
      <c r="I17" s="266">
        <f>'Summary Tab'!I11</f>
        <v>0</v>
      </c>
      <c r="J17" s="266">
        <f>'Summary Tab'!J11</f>
        <v>0</v>
      </c>
      <c r="K17" s="266">
        <f>'Summary Tab'!K11</f>
        <v>0</v>
      </c>
      <c r="L17" s="266">
        <f>'Summary Tab'!L11</f>
        <v>0</v>
      </c>
      <c r="M17" s="266">
        <f>'Summary Tab'!M11</f>
        <v>0</v>
      </c>
      <c r="N17" s="266">
        <f>'Summary Tab'!N11</f>
        <v>0</v>
      </c>
      <c r="O17" s="262">
        <f t="shared" si="3"/>
        <v>0</v>
      </c>
      <c r="P17" s="279"/>
    </row>
    <row r="18" spans="1:16" ht="11.25" customHeight="1">
      <c r="A18" s="250" t="s">
        <v>55</v>
      </c>
      <c r="B18" s="266">
        <f>'Summary Tab'!C12</f>
        <v>0</v>
      </c>
      <c r="C18" s="266">
        <f>'Summary Tab'!D12</f>
        <v>0</v>
      </c>
      <c r="D18" s="266">
        <f>'Summary Tab'!E12</f>
        <v>0</v>
      </c>
      <c r="E18" s="266">
        <f>'Summary Tab'!F12</f>
        <v>0</v>
      </c>
      <c r="F18" s="266">
        <f>'Summary Tab'!G12</f>
        <v>0</v>
      </c>
      <c r="G18" s="266">
        <f>'Summary Tab'!H12</f>
        <v>0</v>
      </c>
      <c r="H18" s="266"/>
      <c r="I18" s="266">
        <f>'Summary Tab'!I12</f>
        <v>0</v>
      </c>
      <c r="J18" s="266">
        <f>'Summary Tab'!J12</f>
        <v>0</v>
      </c>
      <c r="K18" s="266">
        <f>'Summary Tab'!K12</f>
        <v>0</v>
      </c>
      <c r="L18" s="266">
        <f>'Summary Tab'!L12</f>
        <v>0</v>
      </c>
      <c r="M18" s="266">
        <f>'Summary Tab'!M12</f>
        <v>0</v>
      </c>
      <c r="N18" s="266">
        <f>'Summary Tab'!N12</f>
        <v>0</v>
      </c>
      <c r="O18" s="262">
        <f t="shared" si="3"/>
        <v>0</v>
      </c>
      <c r="P18" s="279"/>
    </row>
    <row r="19" spans="1:16" ht="11.25" customHeight="1">
      <c r="A19" s="250" t="s">
        <v>56</v>
      </c>
      <c r="B19" s="266">
        <f>'Summary Tab'!C13</f>
        <v>0</v>
      </c>
      <c r="C19" s="266">
        <f>'Summary Tab'!D13</f>
        <v>0</v>
      </c>
      <c r="D19" s="266">
        <f>'Summary Tab'!E13</f>
        <v>0</v>
      </c>
      <c r="E19" s="266">
        <f>'Summary Tab'!F13</f>
        <v>0</v>
      </c>
      <c r="F19" s="266">
        <f>'Summary Tab'!G13</f>
        <v>0</v>
      </c>
      <c r="G19" s="266">
        <f>'Summary Tab'!H13</f>
        <v>0</v>
      </c>
      <c r="H19" s="303"/>
      <c r="I19" s="266">
        <f>'Summary Tab'!I13</f>
        <v>0</v>
      </c>
      <c r="J19" s="266">
        <f>'Summary Tab'!J13</f>
        <v>0</v>
      </c>
      <c r="K19" s="266">
        <f>'Summary Tab'!K13</f>
        <v>0</v>
      </c>
      <c r="L19" s="266">
        <f>'Summary Tab'!L13</f>
        <v>0</v>
      </c>
      <c r="M19" s="266">
        <f>'Summary Tab'!M13</f>
        <v>0</v>
      </c>
      <c r="N19" s="266">
        <f>'Summary Tab'!N13</f>
        <v>0</v>
      </c>
      <c r="O19" s="262">
        <f t="shared" si="3"/>
        <v>0</v>
      </c>
      <c r="P19" s="279"/>
    </row>
    <row r="20" spans="1:16" ht="11.25" customHeight="1">
      <c r="A20" s="250" t="s">
        <v>57</v>
      </c>
      <c r="B20" s="266">
        <f>'Summary Tab'!C14</f>
        <v>0</v>
      </c>
      <c r="C20" s="266">
        <f>'Summary Tab'!D14</f>
        <v>0</v>
      </c>
      <c r="D20" s="266">
        <f>'Summary Tab'!E14</f>
        <v>0</v>
      </c>
      <c r="E20" s="266">
        <f>'Summary Tab'!F14</f>
        <v>0</v>
      </c>
      <c r="F20" s="266">
        <f>'Summary Tab'!G14</f>
        <v>0</v>
      </c>
      <c r="G20" s="266">
        <f>'Summary Tab'!H14</f>
        <v>0</v>
      </c>
      <c r="H20" s="266"/>
      <c r="I20" s="266">
        <f>'Summary Tab'!I14</f>
        <v>0</v>
      </c>
      <c r="J20" s="266">
        <f>'Summary Tab'!J14</f>
        <v>0</v>
      </c>
      <c r="K20" s="266">
        <f>'Summary Tab'!K14</f>
        <v>0</v>
      </c>
      <c r="L20" s="266">
        <f>'Summary Tab'!L14</f>
        <v>0</v>
      </c>
      <c r="M20" s="266">
        <f>'Summary Tab'!M14</f>
        <v>0</v>
      </c>
      <c r="N20" s="266">
        <f>'Summary Tab'!N14</f>
        <v>0</v>
      </c>
      <c r="O20" s="262">
        <f t="shared" si="3"/>
        <v>0</v>
      </c>
      <c r="P20" s="279"/>
    </row>
    <row r="21" spans="1:16" ht="11.25" customHeight="1">
      <c r="A21" s="250" t="s">
        <v>58</v>
      </c>
      <c r="B21" s="266">
        <f>'Summary Tab'!C15</f>
        <v>0</v>
      </c>
      <c r="C21" s="266">
        <f>'Summary Tab'!D15</f>
        <v>0</v>
      </c>
      <c r="D21" s="266">
        <f>'Summary Tab'!E15</f>
        <v>0</v>
      </c>
      <c r="E21" s="266">
        <f>'Summary Tab'!F15</f>
        <v>0</v>
      </c>
      <c r="F21" s="266">
        <f>'Summary Tab'!G15</f>
        <v>0</v>
      </c>
      <c r="G21" s="266">
        <f>'Summary Tab'!H15</f>
        <v>0</v>
      </c>
      <c r="H21" s="266"/>
      <c r="I21" s="266">
        <f>'Summary Tab'!I15</f>
        <v>0</v>
      </c>
      <c r="J21" s="266">
        <f>'Summary Tab'!J15</f>
        <v>0</v>
      </c>
      <c r="K21" s="266">
        <f>'Summary Tab'!K15</f>
        <v>0</v>
      </c>
      <c r="L21" s="266">
        <f>'Summary Tab'!L15</f>
        <v>0</v>
      </c>
      <c r="M21" s="266">
        <f>'Summary Tab'!M15</f>
        <v>0</v>
      </c>
      <c r="N21" s="266">
        <f>'Summary Tab'!N15</f>
        <v>0</v>
      </c>
      <c r="O21" s="262">
        <f t="shared" si="3"/>
        <v>0</v>
      </c>
      <c r="P21" s="279"/>
    </row>
    <row r="22" spans="1:16" ht="11.25" customHeight="1">
      <c r="A22" s="250" t="s">
        <v>0</v>
      </c>
      <c r="B22" s="266">
        <f>'Summary Tab'!C16</f>
        <v>0</v>
      </c>
      <c r="C22" s="266">
        <f>'Summary Tab'!D16</f>
        <v>0</v>
      </c>
      <c r="D22" s="266">
        <f>'Summary Tab'!E16</f>
        <v>0</v>
      </c>
      <c r="E22" s="266">
        <f>'Summary Tab'!F16</f>
        <v>0</v>
      </c>
      <c r="F22" s="266">
        <f>'Summary Tab'!G16</f>
        <v>0</v>
      </c>
      <c r="G22" s="266">
        <f>'Summary Tab'!H16</f>
        <v>0</v>
      </c>
      <c r="H22" s="266"/>
      <c r="I22" s="266">
        <f>'Summary Tab'!I16</f>
        <v>0</v>
      </c>
      <c r="J22" s="266">
        <f>'Summary Tab'!J16</f>
        <v>0</v>
      </c>
      <c r="K22" s="266">
        <f>'Summary Tab'!K16</f>
        <v>0</v>
      </c>
      <c r="L22" s="266">
        <f>'Summary Tab'!L16</f>
        <v>0</v>
      </c>
      <c r="M22" s="266">
        <f>'Summary Tab'!M16</f>
        <v>0</v>
      </c>
      <c r="N22" s="266">
        <f>'Summary Tab'!N16</f>
        <v>0</v>
      </c>
      <c r="O22" s="262">
        <f t="shared" si="3"/>
        <v>0</v>
      </c>
      <c r="P22" s="279"/>
    </row>
    <row r="23" spans="1:16" ht="11.25" customHeight="1">
      <c r="A23" s="362" t="s">
        <v>9</v>
      </c>
      <c r="B23" s="266">
        <f>'Summary Tab'!C38+'Summary Tab'!C35</f>
        <v>0</v>
      </c>
      <c r="C23" s="266">
        <f>'Summary Tab'!D38+'Summary Tab'!D35</f>
        <v>0</v>
      </c>
      <c r="D23" s="266">
        <f>'Summary Tab'!E38+'Summary Tab'!E35</f>
        <v>0</v>
      </c>
      <c r="E23" s="266">
        <f>'Summary Tab'!F38+'Summary Tab'!F35</f>
        <v>0</v>
      </c>
      <c r="F23" s="266">
        <f>'Summary Tab'!G38+'Summary Tab'!G35</f>
        <v>0</v>
      </c>
      <c r="G23" s="266">
        <f>'Summary Tab'!H38+'Summary Tab'!H35</f>
        <v>0</v>
      </c>
      <c r="H23" s="266"/>
      <c r="I23" s="266">
        <f>'Summary Tab'!I38+'Summary Tab'!I35</f>
        <v>0</v>
      </c>
      <c r="J23" s="266">
        <f>'Summary Tab'!J38+'Summary Tab'!J35</f>
        <v>0</v>
      </c>
      <c r="K23" s="266">
        <f>'Summary Tab'!K38+'Summary Tab'!K35</f>
        <v>0</v>
      </c>
      <c r="L23" s="266">
        <f>'Summary Tab'!L38+'Summary Tab'!L35</f>
        <v>0</v>
      </c>
      <c r="M23" s="266">
        <f>'Summary Tab'!M38+'Summary Tab'!M35</f>
        <v>0</v>
      </c>
      <c r="N23" s="266">
        <f>'Summary Tab'!N38+'Summary Tab'!N35</f>
        <v>0</v>
      </c>
      <c r="O23" s="262">
        <f t="shared" si="3"/>
        <v>0</v>
      </c>
      <c r="P23" s="279"/>
    </row>
    <row r="24" spans="1:16" ht="12" thickBot="1">
      <c r="A24" s="287" t="s">
        <v>214</v>
      </c>
      <c r="B24" s="304">
        <f aca="true" t="shared" si="4" ref="B24:O24">SUM(B14:B23)</f>
        <v>0</v>
      </c>
      <c r="C24" s="304">
        <f t="shared" si="4"/>
        <v>0</v>
      </c>
      <c r="D24" s="304">
        <f t="shared" si="4"/>
        <v>0</v>
      </c>
      <c r="E24" s="304">
        <f t="shared" si="4"/>
        <v>0</v>
      </c>
      <c r="F24" s="304">
        <f t="shared" si="4"/>
        <v>0</v>
      </c>
      <c r="G24" s="304">
        <f t="shared" si="4"/>
        <v>0</v>
      </c>
      <c r="H24" s="304">
        <f t="shared" si="4"/>
        <v>0</v>
      </c>
      <c r="I24" s="304">
        <f t="shared" si="4"/>
        <v>0</v>
      </c>
      <c r="J24" s="304">
        <f t="shared" si="4"/>
        <v>0</v>
      </c>
      <c r="K24" s="304">
        <f t="shared" si="4"/>
        <v>0</v>
      </c>
      <c r="L24" s="304">
        <f t="shared" si="4"/>
        <v>0</v>
      </c>
      <c r="M24" s="304">
        <f t="shared" si="4"/>
        <v>0</v>
      </c>
      <c r="N24" s="305">
        <f t="shared" si="4"/>
        <v>0</v>
      </c>
      <c r="O24" s="256">
        <f t="shared" si="4"/>
        <v>0</v>
      </c>
      <c r="P24" s="279"/>
    </row>
    <row r="25" spans="1:16" ht="11.25" customHeight="1">
      <c r="A25" s="288"/>
      <c r="B25" s="1"/>
      <c r="C25" s="1"/>
      <c r="D25" s="1"/>
      <c r="E25" s="1"/>
      <c r="F25" s="1"/>
      <c r="G25" s="279"/>
      <c r="H25" s="285"/>
      <c r="I25" s="279"/>
      <c r="J25" s="279"/>
      <c r="K25" s="279"/>
      <c r="L25" s="279"/>
      <c r="M25" s="279"/>
      <c r="N25" s="279"/>
      <c r="O25" s="1"/>
      <c r="P25" s="279"/>
    </row>
    <row r="26" spans="1:16" ht="11.25" customHeight="1">
      <c r="A26" s="288"/>
      <c r="B26" s="263"/>
      <c r="C26" s="263"/>
      <c r="D26" s="263"/>
      <c r="E26" s="263"/>
      <c r="F26" s="263"/>
      <c r="G26" s="263"/>
      <c r="H26" s="257"/>
      <c r="I26" s="263"/>
      <c r="J26" s="263"/>
      <c r="K26" s="263"/>
      <c r="L26" s="263"/>
      <c r="M26" s="263"/>
      <c r="N26" s="300"/>
      <c r="O26" s="263"/>
      <c r="P26" s="279"/>
    </row>
    <row r="27" spans="1:16" ht="11.25" customHeight="1">
      <c r="A27" s="289"/>
      <c r="B27" s="2"/>
      <c r="C27" s="2"/>
      <c r="D27" s="2"/>
      <c r="E27" s="2"/>
      <c r="F27" s="2"/>
      <c r="G27" s="2"/>
      <c r="H27" s="2"/>
      <c r="I27" s="2"/>
      <c r="J27" s="2"/>
      <c r="K27" s="2"/>
      <c r="L27" s="2"/>
      <c r="M27" s="2"/>
      <c r="N27" s="2"/>
      <c r="O27" s="2"/>
      <c r="P27" s="279"/>
    </row>
    <row r="28" spans="1:16" ht="11.25" customHeight="1">
      <c r="A28" s="250" t="s">
        <v>11</v>
      </c>
      <c r="B28" s="266">
        <f>'Summary Tab'!C21</f>
        <v>0</v>
      </c>
      <c r="C28" s="266">
        <f>'Summary Tab'!D21</f>
        <v>0</v>
      </c>
      <c r="D28" s="266">
        <f>'Summary Tab'!E21</f>
        <v>0</v>
      </c>
      <c r="E28" s="266">
        <f>'Summary Tab'!F21</f>
        <v>0</v>
      </c>
      <c r="F28" s="266">
        <f>'Summary Tab'!G21</f>
        <v>0</v>
      </c>
      <c r="G28" s="266">
        <f>'Summary Tab'!H21</f>
        <v>0</v>
      </c>
      <c r="H28" s="266"/>
      <c r="I28" s="266">
        <f>'Summary Tab'!I21</f>
        <v>0</v>
      </c>
      <c r="J28" s="266">
        <f>'Summary Tab'!J21</f>
        <v>0</v>
      </c>
      <c r="K28" s="266">
        <f>'Summary Tab'!K21</f>
        <v>0</v>
      </c>
      <c r="L28" s="266">
        <f>'Summary Tab'!L21</f>
        <v>0</v>
      </c>
      <c r="M28" s="266">
        <f>'Summary Tab'!M21</f>
        <v>0</v>
      </c>
      <c r="N28" s="266">
        <f>'Summary Tab'!N21</f>
        <v>0</v>
      </c>
      <c r="O28" s="262">
        <f aca="true" t="shared" si="5" ref="O28:O38">SUM(B28:N28)</f>
        <v>0</v>
      </c>
      <c r="P28" s="279"/>
    </row>
    <row r="29" spans="1:16" ht="11.25" customHeight="1">
      <c r="A29" s="250" t="s">
        <v>12</v>
      </c>
      <c r="B29" s="266">
        <f>'Summary Tab'!C22</f>
        <v>0</v>
      </c>
      <c r="C29" s="266">
        <f>'Summary Tab'!D22</f>
        <v>0</v>
      </c>
      <c r="D29" s="266">
        <f>'Summary Tab'!E22</f>
        <v>0</v>
      </c>
      <c r="E29" s="266">
        <f>'Summary Tab'!F22</f>
        <v>0</v>
      </c>
      <c r="F29" s="266">
        <f>'Summary Tab'!G22</f>
        <v>0</v>
      </c>
      <c r="G29" s="266">
        <f>'Summary Tab'!H22</f>
        <v>0</v>
      </c>
      <c r="H29" s="266"/>
      <c r="I29" s="266">
        <f>'Summary Tab'!I22</f>
        <v>0</v>
      </c>
      <c r="J29" s="266">
        <f>'Summary Tab'!J22</f>
        <v>0</v>
      </c>
      <c r="K29" s="266">
        <f>'Summary Tab'!K22</f>
        <v>0</v>
      </c>
      <c r="L29" s="266">
        <f>'Summary Tab'!L22</f>
        <v>0</v>
      </c>
      <c r="M29" s="266">
        <f>'Summary Tab'!M22</f>
        <v>0</v>
      </c>
      <c r="N29" s="266">
        <f>'Summary Tab'!N22</f>
        <v>0</v>
      </c>
      <c r="O29" s="262">
        <f t="shared" si="5"/>
        <v>0</v>
      </c>
      <c r="P29" s="279"/>
    </row>
    <row r="30" spans="1:16" ht="11.25" customHeight="1">
      <c r="A30" s="250" t="s">
        <v>13</v>
      </c>
      <c r="B30" s="266">
        <f>'Summary Tab'!C23</f>
        <v>0</v>
      </c>
      <c r="C30" s="266">
        <f>'Summary Tab'!D23</f>
        <v>0</v>
      </c>
      <c r="D30" s="266">
        <f>'Summary Tab'!E23</f>
        <v>0</v>
      </c>
      <c r="E30" s="266">
        <f>'Summary Tab'!F23</f>
        <v>0</v>
      </c>
      <c r="F30" s="266">
        <f>'Summary Tab'!G23</f>
        <v>0</v>
      </c>
      <c r="G30" s="266">
        <f>'Summary Tab'!H23</f>
        <v>0</v>
      </c>
      <c r="H30" s="266"/>
      <c r="I30" s="266">
        <f>'Summary Tab'!I23</f>
        <v>0</v>
      </c>
      <c r="J30" s="266">
        <f>'Summary Tab'!J23</f>
        <v>0</v>
      </c>
      <c r="K30" s="266">
        <f>'Summary Tab'!K23</f>
        <v>0</v>
      </c>
      <c r="L30" s="266">
        <f>'Summary Tab'!L23</f>
        <v>0</v>
      </c>
      <c r="M30" s="266">
        <f>'Summary Tab'!M23</f>
        <v>0</v>
      </c>
      <c r="N30" s="266">
        <f>'Summary Tab'!N23</f>
        <v>0</v>
      </c>
      <c r="O30" s="262">
        <f t="shared" si="5"/>
        <v>0</v>
      </c>
      <c r="P30" s="279"/>
    </row>
    <row r="31" spans="1:16" ht="11.25" customHeight="1">
      <c r="A31" s="250" t="s">
        <v>14</v>
      </c>
      <c r="B31" s="266">
        <f>'Summary Tab'!C24</f>
        <v>0</v>
      </c>
      <c r="C31" s="266">
        <f>'Summary Tab'!D24</f>
        <v>0</v>
      </c>
      <c r="D31" s="266">
        <f>'Summary Tab'!E24</f>
        <v>0</v>
      </c>
      <c r="E31" s="266">
        <f>'Summary Tab'!F24</f>
        <v>0</v>
      </c>
      <c r="F31" s="266">
        <f>'Summary Tab'!G24</f>
        <v>0</v>
      </c>
      <c r="G31" s="266">
        <f>'Summary Tab'!H24</f>
        <v>0</v>
      </c>
      <c r="H31" s="266"/>
      <c r="I31" s="266">
        <f>'Summary Tab'!I24</f>
        <v>0</v>
      </c>
      <c r="J31" s="266">
        <f>'Summary Tab'!J24</f>
        <v>0</v>
      </c>
      <c r="K31" s="266">
        <f>'Summary Tab'!K24</f>
        <v>0</v>
      </c>
      <c r="L31" s="266">
        <f>'Summary Tab'!L24</f>
        <v>0</v>
      </c>
      <c r="M31" s="266">
        <f>'Summary Tab'!M24</f>
        <v>0</v>
      </c>
      <c r="N31" s="266">
        <f>'Summary Tab'!N24</f>
        <v>0</v>
      </c>
      <c r="O31" s="262">
        <f t="shared" si="5"/>
        <v>0</v>
      </c>
      <c r="P31" s="279"/>
    </row>
    <row r="32" spans="1:16" ht="11.25" customHeight="1">
      <c r="A32" s="250" t="s">
        <v>15</v>
      </c>
      <c r="B32" s="266">
        <f>'Summary Tab'!C25</f>
        <v>0</v>
      </c>
      <c r="C32" s="266">
        <f>'Summary Tab'!D25</f>
        <v>0</v>
      </c>
      <c r="D32" s="266">
        <f>'Summary Tab'!E25</f>
        <v>0</v>
      </c>
      <c r="E32" s="266">
        <f>'Summary Tab'!F25</f>
        <v>0</v>
      </c>
      <c r="F32" s="266">
        <f>'Summary Tab'!G25</f>
        <v>0</v>
      </c>
      <c r="G32" s="266">
        <f>'Summary Tab'!H25</f>
        <v>0</v>
      </c>
      <c r="H32" s="266"/>
      <c r="I32" s="266">
        <f>'Summary Tab'!I25</f>
        <v>0</v>
      </c>
      <c r="J32" s="266">
        <f>'Summary Tab'!J25</f>
        <v>0</v>
      </c>
      <c r="K32" s="266">
        <f>'Summary Tab'!K25</f>
        <v>0</v>
      </c>
      <c r="L32" s="266">
        <f>'Summary Tab'!L25</f>
        <v>0</v>
      </c>
      <c r="M32" s="266">
        <f>'Summary Tab'!M25</f>
        <v>0</v>
      </c>
      <c r="N32" s="266">
        <f>'Summary Tab'!N25</f>
        <v>0</v>
      </c>
      <c r="O32" s="262">
        <f t="shared" si="5"/>
        <v>0</v>
      </c>
      <c r="P32" s="279"/>
    </row>
    <row r="33" spans="1:16" ht="11.25" customHeight="1">
      <c r="A33" s="250" t="s">
        <v>16</v>
      </c>
      <c r="B33" s="266">
        <f>'Summary Tab'!C26</f>
        <v>0</v>
      </c>
      <c r="C33" s="266">
        <f>'Summary Tab'!D26</f>
        <v>0</v>
      </c>
      <c r="D33" s="266">
        <f>'Summary Tab'!E26</f>
        <v>0</v>
      </c>
      <c r="E33" s="266">
        <f>'Summary Tab'!F26</f>
        <v>0</v>
      </c>
      <c r="F33" s="266">
        <f>'Summary Tab'!G26</f>
        <v>0</v>
      </c>
      <c r="G33" s="266">
        <f>'Summary Tab'!H26</f>
        <v>0</v>
      </c>
      <c r="H33" s="266"/>
      <c r="I33" s="266">
        <f>'Summary Tab'!I26</f>
        <v>0</v>
      </c>
      <c r="J33" s="266">
        <f>'Summary Tab'!J26</f>
        <v>0</v>
      </c>
      <c r="K33" s="266">
        <f>'Summary Tab'!K26</f>
        <v>0</v>
      </c>
      <c r="L33" s="266">
        <f>'Summary Tab'!L26</f>
        <v>0</v>
      </c>
      <c r="M33" s="266">
        <f>'Summary Tab'!M26</f>
        <v>0</v>
      </c>
      <c r="N33" s="266">
        <f>'Summary Tab'!N26</f>
        <v>0</v>
      </c>
      <c r="O33" s="262">
        <f t="shared" si="5"/>
        <v>0</v>
      </c>
      <c r="P33" s="279"/>
    </row>
    <row r="34" spans="1:16" ht="11.25" customHeight="1">
      <c r="A34" s="250" t="s">
        <v>17</v>
      </c>
      <c r="B34" s="266">
        <f>'Summary Tab'!C27</f>
        <v>0</v>
      </c>
      <c r="C34" s="266">
        <f>'Summary Tab'!D27</f>
        <v>0</v>
      </c>
      <c r="D34" s="266">
        <f>'Summary Tab'!E27</f>
        <v>0</v>
      </c>
      <c r="E34" s="266">
        <f>'Summary Tab'!F27</f>
        <v>0</v>
      </c>
      <c r="F34" s="266">
        <f>'Summary Tab'!G27</f>
        <v>0</v>
      </c>
      <c r="G34" s="266">
        <f>'Summary Tab'!H27</f>
        <v>0</v>
      </c>
      <c r="H34" s="266"/>
      <c r="I34" s="266">
        <f>'Summary Tab'!I27</f>
        <v>0</v>
      </c>
      <c r="J34" s="266">
        <f>'Summary Tab'!J27</f>
        <v>0</v>
      </c>
      <c r="K34" s="266">
        <f>'Summary Tab'!K27</f>
        <v>0</v>
      </c>
      <c r="L34" s="266">
        <f>'Summary Tab'!L27</f>
        <v>0</v>
      </c>
      <c r="M34" s="266">
        <f>'Summary Tab'!M27</f>
        <v>0</v>
      </c>
      <c r="N34" s="266">
        <f>'Summary Tab'!N27</f>
        <v>0</v>
      </c>
      <c r="O34" s="262">
        <f t="shared" si="5"/>
        <v>0</v>
      </c>
      <c r="P34" s="279"/>
    </row>
    <row r="35" spans="1:16" ht="11.25" customHeight="1">
      <c r="A35" s="250" t="s">
        <v>31</v>
      </c>
      <c r="B35" s="266"/>
      <c r="C35" s="266"/>
      <c r="D35" s="266"/>
      <c r="E35" s="266"/>
      <c r="F35" s="266"/>
      <c r="G35" s="266"/>
      <c r="H35" s="266"/>
      <c r="I35" s="266"/>
      <c r="J35" s="266"/>
      <c r="K35" s="266"/>
      <c r="L35" s="266"/>
      <c r="M35" s="301"/>
      <c r="N35" s="301"/>
      <c r="O35" s="262">
        <f t="shared" si="5"/>
        <v>0</v>
      </c>
      <c r="P35" s="279"/>
    </row>
    <row r="36" spans="1:16" ht="11.25" customHeight="1">
      <c r="A36" s="250" t="s">
        <v>35</v>
      </c>
      <c r="B36" s="266"/>
      <c r="C36" s="266"/>
      <c r="D36" s="266"/>
      <c r="E36" s="266"/>
      <c r="F36" s="266"/>
      <c r="G36" s="266"/>
      <c r="H36" s="302"/>
      <c r="I36" s="266"/>
      <c r="J36" s="302">
        <f>+$P$36/12</f>
        <v>0</v>
      </c>
      <c r="K36" s="302">
        <f>+$P$36/12</f>
        <v>0</v>
      </c>
      <c r="L36" s="302">
        <f>+$P$36/12</f>
        <v>0</v>
      </c>
      <c r="M36" s="302">
        <f>+$P$36/12</f>
        <v>0</v>
      </c>
      <c r="N36" s="302">
        <f>+$P$36/12</f>
        <v>0</v>
      </c>
      <c r="O36" s="262">
        <f t="shared" si="5"/>
        <v>0</v>
      </c>
      <c r="P36" s="279"/>
    </row>
    <row r="37" spans="1:16" ht="11.25" customHeight="1">
      <c r="A37" s="250" t="s">
        <v>36</v>
      </c>
      <c r="B37" s="302">
        <f>'Summary Tab'!C39</f>
        <v>0</v>
      </c>
      <c r="C37" s="302">
        <f>'Summary Tab'!D39</f>
        <v>0</v>
      </c>
      <c r="D37" s="302">
        <f>'Summary Tab'!E39</f>
        <v>0</v>
      </c>
      <c r="E37" s="302">
        <f>'Summary Tab'!F39</f>
        <v>0</v>
      </c>
      <c r="F37" s="302">
        <f>'Summary Tab'!G39</f>
        <v>0</v>
      </c>
      <c r="G37" s="302">
        <f>'Summary Tab'!H39</f>
        <v>0</v>
      </c>
      <c r="H37" s="302"/>
      <c r="I37" s="302">
        <f>'Summary Tab'!I39</f>
        <v>0</v>
      </c>
      <c r="J37" s="302">
        <f>'Summary Tab'!J39</f>
        <v>0</v>
      </c>
      <c r="K37" s="302">
        <f>'Summary Tab'!K39</f>
        <v>0</v>
      </c>
      <c r="L37" s="302">
        <f>'Summary Tab'!L39</f>
        <v>0</v>
      </c>
      <c r="M37" s="302">
        <f>'Summary Tab'!M39</f>
        <v>0</v>
      </c>
      <c r="N37" s="302">
        <f>'Summary Tab'!N39</f>
        <v>0</v>
      </c>
      <c r="O37" s="262">
        <f t="shared" si="5"/>
        <v>0</v>
      </c>
      <c r="P37" s="279"/>
    </row>
    <row r="38" spans="1:16" ht="11.25" customHeight="1" thickBot="1">
      <c r="A38" s="286" t="s">
        <v>37</v>
      </c>
      <c r="B38" s="309">
        <f>'Summary Tab'!C40</f>
        <v>0</v>
      </c>
      <c r="C38" s="309">
        <f>'Summary Tab'!D40</f>
        <v>0</v>
      </c>
      <c r="D38" s="309">
        <f>'Summary Tab'!E40</f>
        <v>0</v>
      </c>
      <c r="E38" s="309">
        <f>'Summary Tab'!F40</f>
        <v>0</v>
      </c>
      <c r="F38" s="309">
        <f>'Summary Tab'!G40</f>
        <v>0</v>
      </c>
      <c r="G38" s="309">
        <f>'Summary Tab'!H40</f>
        <v>0</v>
      </c>
      <c r="H38" s="309"/>
      <c r="I38" s="309">
        <f>'Summary Tab'!I40</f>
        <v>0</v>
      </c>
      <c r="J38" s="309">
        <f>'Summary Tab'!J40</f>
        <v>0</v>
      </c>
      <c r="K38" s="309">
        <f>'Summary Tab'!K40</f>
        <v>0</v>
      </c>
      <c r="L38" s="309">
        <f>'Summary Tab'!L40</f>
        <v>0</v>
      </c>
      <c r="M38" s="309">
        <f>'Summary Tab'!M40</f>
        <v>0</v>
      </c>
      <c r="N38" s="309">
        <f>'Summary Tab'!N40</f>
        <v>0</v>
      </c>
      <c r="O38" s="267">
        <f t="shared" si="5"/>
        <v>0</v>
      </c>
      <c r="P38" s="279"/>
    </row>
    <row r="39" spans="1:16" ht="10.5" thickBot="1">
      <c r="A39" s="287" t="s">
        <v>118</v>
      </c>
      <c r="B39" s="255">
        <f aca="true" t="shared" si="6" ref="B39:N39">SUM(B28:B38)</f>
        <v>0</v>
      </c>
      <c r="C39" s="255">
        <f t="shared" si="6"/>
        <v>0</v>
      </c>
      <c r="D39" s="255">
        <f t="shared" si="6"/>
        <v>0</v>
      </c>
      <c r="E39" s="255">
        <f t="shared" si="6"/>
        <v>0</v>
      </c>
      <c r="F39" s="255">
        <f t="shared" si="6"/>
        <v>0</v>
      </c>
      <c r="G39" s="255">
        <f t="shared" si="6"/>
        <v>0</v>
      </c>
      <c r="H39" s="255">
        <f t="shared" si="6"/>
        <v>0</v>
      </c>
      <c r="I39" s="255">
        <f t="shared" si="6"/>
        <v>0</v>
      </c>
      <c r="J39" s="255">
        <f t="shared" si="6"/>
        <v>0</v>
      </c>
      <c r="K39" s="255">
        <f t="shared" si="6"/>
        <v>0</v>
      </c>
      <c r="L39" s="255">
        <f t="shared" si="6"/>
        <v>0</v>
      </c>
      <c r="M39" s="255">
        <f t="shared" si="6"/>
        <v>0</v>
      </c>
      <c r="N39" s="299">
        <f t="shared" si="6"/>
        <v>0</v>
      </c>
      <c r="O39" s="256">
        <f>SUM(O28:O38)</f>
        <v>0</v>
      </c>
      <c r="P39" s="279"/>
    </row>
    <row r="40" spans="1:16" ht="9.75">
      <c r="A40" s="289"/>
      <c r="B40" s="2"/>
      <c r="C40" s="2"/>
      <c r="D40" s="2"/>
      <c r="E40" s="2"/>
      <c r="F40" s="2"/>
      <c r="G40" s="2"/>
      <c r="H40" s="307"/>
      <c r="I40" s="2"/>
      <c r="J40" s="2"/>
      <c r="K40" s="2"/>
      <c r="L40" s="2"/>
      <c r="M40" s="2"/>
      <c r="N40" s="2"/>
      <c r="O40" s="2"/>
      <c r="P40" s="279"/>
    </row>
    <row r="41" spans="1:16" ht="10.5" thickBot="1">
      <c r="A41" s="287" t="s">
        <v>181</v>
      </c>
      <c r="B41" s="255">
        <f aca="true" t="shared" si="7" ref="B41:O41">+B12+B24-B39</f>
        <v>3508009.1</v>
      </c>
      <c r="C41" s="255">
        <f t="shared" si="7"/>
        <v>3508009.1</v>
      </c>
      <c r="D41" s="255">
        <f t="shared" si="7"/>
        <v>3508009.1</v>
      </c>
      <c r="E41" s="255">
        <f t="shared" si="7"/>
        <v>3508009.1</v>
      </c>
      <c r="F41" s="255">
        <f t="shared" si="7"/>
        <v>3508009.1</v>
      </c>
      <c r="G41" s="255">
        <f t="shared" si="7"/>
        <v>3508009.1</v>
      </c>
      <c r="H41" s="255">
        <f t="shared" si="7"/>
        <v>3508009.1</v>
      </c>
      <c r="I41" s="255">
        <f t="shared" si="7"/>
        <v>3508009.1</v>
      </c>
      <c r="J41" s="255">
        <f t="shared" si="7"/>
        <v>3508009.1</v>
      </c>
      <c r="K41" s="255">
        <f t="shared" si="7"/>
        <v>3508009.1</v>
      </c>
      <c r="L41" s="255">
        <f t="shared" si="7"/>
        <v>3508009.1</v>
      </c>
      <c r="M41" s="255">
        <f t="shared" si="7"/>
        <v>3508009.1</v>
      </c>
      <c r="N41" s="255">
        <f t="shared" si="7"/>
        <v>3508009.1</v>
      </c>
      <c r="O41" s="255">
        <f t="shared" si="7"/>
        <v>3508009.1</v>
      </c>
      <c r="P41" s="279"/>
    </row>
    <row r="42" spans="1:16" ht="11.25" customHeight="1">
      <c r="A42" s="288"/>
      <c r="B42" s="263"/>
      <c r="C42" s="263"/>
      <c r="D42" s="263"/>
      <c r="E42" s="263"/>
      <c r="F42" s="263"/>
      <c r="G42" s="263"/>
      <c r="H42" s="257"/>
      <c r="I42" s="263"/>
      <c r="J42" s="263"/>
      <c r="K42" s="263"/>
      <c r="L42" s="263"/>
      <c r="M42" s="263"/>
      <c r="N42" s="263"/>
      <c r="O42" s="263"/>
      <c r="P42" s="279"/>
    </row>
    <row r="43" spans="1:16" ht="9.75">
      <c r="A43" s="288"/>
      <c r="B43" s="263"/>
      <c r="C43" s="263"/>
      <c r="D43" s="263"/>
      <c r="E43" s="263"/>
      <c r="F43" s="263"/>
      <c r="G43" s="263"/>
      <c r="H43" s="257"/>
      <c r="I43" s="263"/>
      <c r="J43" s="263"/>
      <c r="K43" s="263"/>
      <c r="L43" s="263"/>
      <c r="M43" s="263"/>
      <c r="N43" s="263"/>
      <c r="O43" s="263"/>
      <c r="P43" s="279"/>
    </row>
    <row r="44" spans="1:16" ht="10.5" thickBot="1">
      <c r="A44" s="287" t="s">
        <v>119</v>
      </c>
      <c r="B44" s="306">
        <f>'Summary Tab'!C45</f>
        <v>0</v>
      </c>
      <c r="C44" s="306">
        <f>'Summary Tab'!D45</f>
        <v>0</v>
      </c>
      <c r="D44" s="306">
        <f>'Summary Tab'!E45</f>
        <v>0</v>
      </c>
      <c r="E44" s="306">
        <f>'Summary Tab'!F45</f>
        <v>0</v>
      </c>
      <c r="F44" s="306">
        <f>'Summary Tab'!G45</f>
        <v>0</v>
      </c>
      <c r="G44" s="306">
        <f>'Summary Tab'!H45</f>
        <v>0</v>
      </c>
      <c r="H44" s="306">
        <f>G44</f>
        <v>0</v>
      </c>
      <c r="I44" s="306">
        <f>'Summary Tab'!I45</f>
        <v>0</v>
      </c>
      <c r="J44" s="306">
        <f>'Summary Tab'!J45</f>
        <v>0</v>
      </c>
      <c r="K44" s="306">
        <f>'Summary Tab'!K45</f>
        <v>0</v>
      </c>
      <c r="L44" s="306">
        <f>'Summary Tab'!L45</f>
        <v>0</v>
      </c>
      <c r="M44" s="306">
        <f>'Summary Tab'!M45</f>
        <v>0</v>
      </c>
      <c r="N44" s="306">
        <f>'Summary Tab'!N45</f>
        <v>0</v>
      </c>
      <c r="O44" s="256">
        <f>N44</f>
        <v>0</v>
      </c>
      <c r="P44" s="279"/>
    </row>
    <row r="45" spans="1:16" ht="10.5" thickTop="1">
      <c r="A45" s="290"/>
      <c r="B45" s="264"/>
      <c r="C45" s="264"/>
      <c r="D45" s="264"/>
      <c r="E45" s="264"/>
      <c r="F45" s="264"/>
      <c r="G45" s="264"/>
      <c r="H45" s="258"/>
      <c r="I45" s="264"/>
      <c r="J45" s="264"/>
      <c r="K45" s="264"/>
      <c r="L45" s="264"/>
      <c r="M45" s="264"/>
      <c r="N45" s="264"/>
      <c r="O45" s="264"/>
      <c r="P45" s="279"/>
    </row>
    <row r="46" spans="1:16" ht="10.5" thickBot="1">
      <c r="A46" s="287" t="s">
        <v>234</v>
      </c>
      <c r="B46" s="255">
        <f aca="true" t="shared" si="8" ref="B46:O46">B44+B41</f>
        <v>3508009.1</v>
      </c>
      <c r="C46" s="255">
        <f t="shared" si="8"/>
        <v>3508009.1</v>
      </c>
      <c r="D46" s="255">
        <f t="shared" si="8"/>
        <v>3508009.1</v>
      </c>
      <c r="E46" s="255">
        <f t="shared" si="8"/>
        <v>3508009.1</v>
      </c>
      <c r="F46" s="255">
        <f t="shared" si="8"/>
        <v>3508009.1</v>
      </c>
      <c r="G46" s="255">
        <f t="shared" si="8"/>
        <v>3508009.1</v>
      </c>
      <c r="H46" s="255">
        <f t="shared" si="8"/>
        <v>3508009.1</v>
      </c>
      <c r="I46" s="255">
        <f t="shared" si="8"/>
        <v>3508009.1</v>
      </c>
      <c r="J46" s="255">
        <f t="shared" si="8"/>
        <v>3508009.1</v>
      </c>
      <c r="K46" s="255">
        <f t="shared" si="8"/>
        <v>3508009.1</v>
      </c>
      <c r="L46" s="255">
        <f t="shared" si="8"/>
        <v>3508009.1</v>
      </c>
      <c r="M46" s="255">
        <f t="shared" si="8"/>
        <v>3508009.1</v>
      </c>
      <c r="N46" s="255">
        <f t="shared" si="8"/>
        <v>3508009.1</v>
      </c>
      <c r="O46" s="256">
        <f t="shared" si="8"/>
        <v>3508009.1</v>
      </c>
      <c r="P46" s="279"/>
    </row>
    <row r="47" spans="1:16" ht="11.25" customHeight="1" thickTop="1">
      <c r="A47" s="288"/>
      <c r="B47" s="263"/>
      <c r="C47" s="263"/>
      <c r="D47" s="263"/>
      <c r="E47" s="263"/>
      <c r="F47" s="263"/>
      <c r="G47" s="263"/>
      <c r="H47" s="257"/>
      <c r="I47" s="263"/>
      <c r="J47" s="263"/>
      <c r="K47" s="263"/>
      <c r="L47" s="263"/>
      <c r="M47" s="263"/>
      <c r="N47" s="263"/>
      <c r="O47" s="263"/>
      <c r="P47" s="279"/>
    </row>
    <row r="48" ht="9.75">
      <c r="P48" s="279"/>
    </row>
  </sheetData>
  <sheetProtection password="CA11" sheet="1" objects="1" scenarios="1"/>
  <mergeCells count="1">
    <mergeCell ref="K1:N1"/>
  </mergeCells>
  <conditionalFormatting sqref="A13 A44 A46 A39 A24 A5 A41 P5:HY5 P39:HY39 P24:HY24 P41:HY41 P44:HY44 P46:HY46">
    <cfRule type="cellIs" priority="1" dxfId="8" operator="lessThan" stopIfTrue="1">
      <formula>-0.5</formula>
    </cfRule>
  </conditionalFormatting>
  <conditionalFormatting sqref="B9:O9 B12:O12 B41:O41 B24:O24 B46:O46 B39:O39 B44:O44">
    <cfRule type="cellIs" priority="2" dxfId="8" operator="lessThan" stopIfTrue="1">
      <formula>-0.5</formula>
    </cfRule>
  </conditionalFormatting>
  <conditionalFormatting sqref="H21:H23 B23:G23 I23:N23">
    <cfRule type="cellIs" priority="3" dxfId="6" operator="equal" stopIfTrue="1">
      <formula>0</formula>
    </cfRule>
  </conditionalFormatting>
  <printOptions horizontalCentered="1"/>
  <pageMargins left="0.25" right="0.25" top="0.5" bottom="0.5" header="0.5" footer="0.5"/>
  <pageSetup fitToHeight="1" fitToWidth="1" orientation="landscape" scale="62"/>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T208"/>
  <sheetViews>
    <sheetView zoomScale="85" zoomScaleNormal="85" workbookViewId="0" topLeftCell="A1">
      <pane xSplit="2" ySplit="4" topLeftCell="C5" activePane="bottomRight" state="frozen"/>
      <selection pane="topLeft" activeCell="A1" sqref="A1"/>
      <selection pane="topRight" activeCell="C1" sqref="C1"/>
      <selection pane="bottomLeft" activeCell="A5" sqref="A5"/>
      <selection pane="bottomRight" activeCell="C9" sqref="C9"/>
    </sheetView>
  </sheetViews>
  <sheetFormatPr defaultColWidth="6.6640625" defaultRowHeight="15" outlineLevelCol="1"/>
  <cols>
    <col min="1" max="1" width="60.4453125" style="0" customWidth="1"/>
    <col min="2" max="2" width="7.77734375" style="370" hidden="1" customWidth="1" outlineLevel="1"/>
    <col min="3" max="3" width="13.10546875" style="0" customWidth="1" collapsed="1"/>
    <col min="4" max="4" width="13.10546875" style="0" customWidth="1"/>
    <col min="5" max="5" width="12.4453125" style="0" customWidth="1"/>
    <col min="6" max="7" width="12.88671875" style="0" customWidth="1"/>
    <col min="8" max="13" width="13.10546875" style="0" customWidth="1"/>
    <col min="14" max="14" width="12.88671875" style="0" customWidth="1"/>
    <col min="15" max="15" width="13.99609375" style="0" customWidth="1"/>
    <col min="16" max="16" width="12.88671875" style="317" customWidth="1"/>
    <col min="17" max="17" width="11.77734375" style="317" customWidth="1"/>
    <col min="18" max="18" width="9.21484375" style="0" customWidth="1"/>
    <col min="19" max="19" width="8.21484375" style="0" customWidth="1"/>
  </cols>
  <sheetData>
    <row r="1" spans="1:17" s="315" customFormat="1" ht="18">
      <c r="A1" s="442" t="s">
        <v>324</v>
      </c>
      <c r="B1" s="314"/>
      <c r="F1" s="445" t="s">
        <v>325</v>
      </c>
      <c r="G1" s="445"/>
      <c r="H1" s="445"/>
      <c r="I1" s="445"/>
      <c r="J1" s="445"/>
      <c r="K1" s="445"/>
      <c r="L1" s="445"/>
      <c r="P1" s="313"/>
      <c r="Q1" s="313"/>
    </row>
    <row r="2" ht="15.75">
      <c r="A2" s="443" t="s">
        <v>326</v>
      </c>
    </row>
    <row r="3" spans="1:19" ht="15.75">
      <c r="A3" s="443" t="s">
        <v>327</v>
      </c>
      <c r="C3" s="446" t="s">
        <v>328</v>
      </c>
      <c r="D3" s="446"/>
      <c r="E3" s="446"/>
      <c r="F3" s="447" t="s">
        <v>315</v>
      </c>
      <c r="G3" s="447"/>
      <c r="H3" s="447"/>
      <c r="I3" s="447"/>
      <c r="J3" s="447"/>
      <c r="K3" s="447"/>
      <c r="L3" s="447"/>
      <c r="M3" s="447"/>
      <c r="N3" s="447"/>
      <c r="O3" s="447"/>
      <c r="P3" s="447"/>
      <c r="R3" s="448"/>
      <c r="S3" s="449"/>
    </row>
    <row r="4" spans="2:19" s="318" customFormat="1" ht="45">
      <c r="B4" s="319" t="s">
        <v>329</v>
      </c>
      <c r="C4" s="318" t="s">
        <v>180</v>
      </c>
      <c r="D4" s="318" t="s">
        <v>182</v>
      </c>
      <c r="E4" s="318" t="s">
        <v>183</v>
      </c>
      <c r="F4" s="318" t="s">
        <v>184</v>
      </c>
      <c r="G4" s="318" t="s">
        <v>185</v>
      </c>
      <c r="H4" s="318" t="s">
        <v>205</v>
      </c>
      <c r="I4" s="318" t="s">
        <v>206</v>
      </c>
      <c r="J4" s="318" t="s">
        <v>207</v>
      </c>
      <c r="K4" s="318" t="s">
        <v>253</v>
      </c>
      <c r="L4" s="318" t="s">
        <v>254</v>
      </c>
      <c r="M4" s="318" t="s">
        <v>255</v>
      </c>
      <c r="N4" s="318" t="s">
        <v>256</v>
      </c>
      <c r="O4" s="320" t="s">
        <v>330</v>
      </c>
      <c r="P4" s="320" t="s">
        <v>331</v>
      </c>
      <c r="Q4" s="320" t="s">
        <v>332</v>
      </c>
      <c r="R4" s="450" t="s">
        <v>333</v>
      </c>
      <c r="S4" s="451"/>
    </row>
    <row r="5" spans="1:46" s="317" customFormat="1" ht="13.5">
      <c r="A5" s="317" t="s">
        <v>334</v>
      </c>
      <c r="B5" s="321"/>
      <c r="C5" s="438"/>
      <c r="D5" s="371">
        <f>+C43</f>
        <v>0</v>
      </c>
      <c r="E5" s="371">
        <f aca="true" t="shared" si="0" ref="E5:N5">+D43</f>
        <v>0</v>
      </c>
      <c r="F5" s="371">
        <f t="shared" si="0"/>
        <v>0</v>
      </c>
      <c r="G5" s="371">
        <f t="shared" si="0"/>
        <v>0</v>
      </c>
      <c r="H5" s="371">
        <f t="shared" si="0"/>
        <v>0</v>
      </c>
      <c r="I5" s="371">
        <f t="shared" si="0"/>
        <v>0</v>
      </c>
      <c r="J5" s="371">
        <f t="shared" si="0"/>
        <v>0</v>
      </c>
      <c r="K5" s="371">
        <f t="shared" si="0"/>
        <v>0</v>
      </c>
      <c r="L5" s="371">
        <f t="shared" si="0"/>
        <v>0</v>
      </c>
      <c r="M5" s="371">
        <f t="shared" si="0"/>
        <v>0</v>
      </c>
      <c r="N5" s="371">
        <f t="shared" si="0"/>
        <v>0</v>
      </c>
      <c r="O5" s="371">
        <v>0</v>
      </c>
      <c r="P5" s="371">
        <f>+C5</f>
        <v>0</v>
      </c>
      <c r="Q5" s="371">
        <f>+C5</f>
        <v>0</v>
      </c>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row>
    <row r="6" spans="3:46" ht="15.75">
      <c r="C6" s="372"/>
      <c r="D6" s="372"/>
      <c r="E6" s="372"/>
      <c r="F6" s="372"/>
      <c r="G6" s="372"/>
      <c r="H6" s="372"/>
      <c r="I6" s="372"/>
      <c r="J6" s="372"/>
      <c r="K6" s="372"/>
      <c r="L6" s="372"/>
      <c r="M6" s="372"/>
      <c r="N6" s="372"/>
      <c r="O6" s="372"/>
      <c r="P6" s="371"/>
      <c r="Q6" s="371"/>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row>
    <row r="7" spans="1:46" ht="15.75">
      <c r="A7" s="317" t="s">
        <v>335</v>
      </c>
      <c r="C7" s="372"/>
      <c r="D7" s="372"/>
      <c r="E7" s="372"/>
      <c r="F7" s="372"/>
      <c r="G7" s="372"/>
      <c r="H7" s="372"/>
      <c r="I7" s="372"/>
      <c r="J7" s="372"/>
      <c r="K7" s="372"/>
      <c r="L7" s="372"/>
      <c r="M7" s="372"/>
      <c r="N7" s="372"/>
      <c r="O7" s="372"/>
      <c r="P7" s="371"/>
      <c r="Q7" s="371"/>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row>
    <row r="8" spans="1:46" ht="15.75">
      <c r="A8" s="373" t="s">
        <v>336</v>
      </c>
      <c r="C8" s="372"/>
      <c r="D8" s="372"/>
      <c r="E8" s="372"/>
      <c r="F8" s="372"/>
      <c r="G8" s="372"/>
      <c r="H8" s="372"/>
      <c r="I8" s="372"/>
      <c r="J8" s="372"/>
      <c r="K8" s="372"/>
      <c r="L8" s="372"/>
      <c r="M8" s="372"/>
      <c r="N8" s="372"/>
      <c r="O8" s="372"/>
      <c r="P8" s="371"/>
      <c r="Q8" s="371"/>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row>
    <row r="9" spans="1:46" ht="15.75">
      <c r="A9" s="322" t="s">
        <v>345</v>
      </c>
      <c r="B9" s="370" t="s">
        <v>337</v>
      </c>
      <c r="C9" s="437"/>
      <c r="D9" s="437"/>
      <c r="E9" s="437"/>
      <c r="F9" s="437"/>
      <c r="G9" s="437"/>
      <c r="H9" s="437"/>
      <c r="I9" s="437"/>
      <c r="J9" s="437"/>
      <c r="K9" s="437"/>
      <c r="L9" s="437"/>
      <c r="M9" s="437"/>
      <c r="N9" s="437"/>
      <c r="O9" s="437"/>
      <c r="P9" s="371">
        <f>SUM(C9:O9)</f>
        <v>0</v>
      </c>
      <c r="Q9" s="438"/>
      <c r="R9" s="372">
        <f>P9-Q9</f>
        <v>0</v>
      </c>
      <c r="S9" s="374">
        <f aca="true" t="shared" si="1" ref="S9:S17">+IF(Q9=0,0,+ROUND(R9/Q9,4))</f>
        <v>0</v>
      </c>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row>
    <row r="10" spans="1:46" ht="15.75">
      <c r="A10" s="322" t="s">
        <v>346</v>
      </c>
      <c r="B10" s="370" t="s">
        <v>338</v>
      </c>
      <c r="C10" s="437"/>
      <c r="D10" s="437"/>
      <c r="E10" s="437"/>
      <c r="F10" s="437"/>
      <c r="G10" s="437"/>
      <c r="H10" s="437"/>
      <c r="I10" s="437"/>
      <c r="J10" s="437"/>
      <c r="K10" s="437"/>
      <c r="L10" s="437"/>
      <c r="M10" s="437"/>
      <c r="N10" s="437"/>
      <c r="O10" s="437"/>
      <c r="P10" s="371">
        <f aca="true" t="shared" si="2" ref="P10:P16">SUM(C10:O10)</f>
        <v>0</v>
      </c>
      <c r="Q10" s="438"/>
      <c r="R10" s="372">
        <f>P10-Q10</f>
        <v>0</v>
      </c>
      <c r="S10" s="374">
        <f t="shared" si="1"/>
        <v>0</v>
      </c>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row>
    <row r="11" spans="1:46" ht="15.75">
      <c r="A11" s="322" t="s">
        <v>347</v>
      </c>
      <c r="B11" s="370" t="s">
        <v>339</v>
      </c>
      <c r="C11" s="437"/>
      <c r="D11" s="437"/>
      <c r="E11" s="437"/>
      <c r="F11" s="437"/>
      <c r="G11" s="437"/>
      <c r="H11" s="437"/>
      <c r="I11" s="437"/>
      <c r="J11" s="437"/>
      <c r="K11" s="437"/>
      <c r="L11" s="437"/>
      <c r="M11" s="437"/>
      <c r="N11" s="437"/>
      <c r="O11" s="437"/>
      <c r="P11" s="371">
        <f t="shared" si="2"/>
        <v>0</v>
      </c>
      <c r="Q11" s="438"/>
      <c r="R11" s="372">
        <f>P11-Q11</f>
        <v>0</v>
      </c>
      <c r="S11" s="374">
        <f t="shared" si="1"/>
        <v>0</v>
      </c>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row>
    <row r="12" spans="1:46" ht="15.75">
      <c r="A12" s="375" t="s">
        <v>340</v>
      </c>
      <c r="B12" s="370" t="s">
        <v>341</v>
      </c>
      <c r="C12" s="437"/>
      <c r="D12" s="437"/>
      <c r="E12" s="437"/>
      <c r="F12" s="437"/>
      <c r="G12" s="437"/>
      <c r="H12" s="437"/>
      <c r="I12" s="437"/>
      <c r="J12" s="437"/>
      <c r="K12" s="437"/>
      <c r="L12" s="437"/>
      <c r="M12" s="437"/>
      <c r="N12" s="437"/>
      <c r="O12" s="437"/>
      <c r="P12" s="371">
        <f>SUM(C12:O12)</f>
        <v>0</v>
      </c>
      <c r="Q12" s="438"/>
      <c r="R12" s="372">
        <f aca="true" t="shared" si="3" ref="R12:R17">P12-Q12</f>
        <v>0</v>
      </c>
      <c r="S12" s="374">
        <f t="shared" si="1"/>
        <v>0</v>
      </c>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row>
    <row r="13" spans="1:46" ht="15.75">
      <c r="A13" s="375" t="s">
        <v>342</v>
      </c>
      <c r="B13" s="370" t="s">
        <v>343</v>
      </c>
      <c r="C13" s="437"/>
      <c r="D13" s="437"/>
      <c r="E13" s="437"/>
      <c r="F13" s="437"/>
      <c r="G13" s="437"/>
      <c r="H13" s="437"/>
      <c r="I13" s="437"/>
      <c r="J13" s="437"/>
      <c r="K13" s="437"/>
      <c r="L13" s="437"/>
      <c r="M13" s="437"/>
      <c r="N13" s="437"/>
      <c r="O13" s="437"/>
      <c r="P13" s="371">
        <f t="shared" si="2"/>
        <v>0</v>
      </c>
      <c r="Q13" s="438"/>
      <c r="R13" s="372">
        <f t="shared" si="3"/>
        <v>0</v>
      </c>
      <c r="S13" s="374">
        <f t="shared" si="1"/>
        <v>0</v>
      </c>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row>
    <row r="14" spans="1:46" ht="15.75">
      <c r="A14" s="375" t="s">
        <v>408</v>
      </c>
      <c r="B14" s="370" t="s">
        <v>344</v>
      </c>
      <c r="C14" s="437"/>
      <c r="D14" s="437"/>
      <c r="E14" s="437"/>
      <c r="F14" s="437"/>
      <c r="G14" s="437"/>
      <c r="H14" s="437"/>
      <c r="I14" s="437"/>
      <c r="J14" s="437"/>
      <c r="K14" s="437"/>
      <c r="L14" s="437"/>
      <c r="M14" s="437"/>
      <c r="N14" s="437"/>
      <c r="O14" s="437"/>
      <c r="P14" s="371">
        <f t="shared" si="2"/>
        <v>0</v>
      </c>
      <c r="Q14" s="438"/>
      <c r="R14" s="372">
        <f t="shared" si="3"/>
        <v>0</v>
      </c>
      <c r="S14" s="374">
        <f t="shared" si="1"/>
        <v>0</v>
      </c>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row>
    <row r="15" spans="1:46" ht="15.75">
      <c r="A15" s="375" t="s">
        <v>360</v>
      </c>
      <c r="B15" s="370" t="s">
        <v>373</v>
      </c>
      <c r="C15" s="437"/>
      <c r="D15" s="437"/>
      <c r="E15" s="437"/>
      <c r="F15" s="437"/>
      <c r="G15" s="437"/>
      <c r="H15" s="437"/>
      <c r="I15" s="437"/>
      <c r="J15" s="437"/>
      <c r="K15" s="437"/>
      <c r="L15" s="437"/>
      <c r="M15" s="437"/>
      <c r="N15" s="437"/>
      <c r="O15" s="437"/>
      <c r="P15" s="371">
        <f t="shared" si="2"/>
        <v>0</v>
      </c>
      <c r="Q15" s="438"/>
      <c r="R15" s="372">
        <f t="shared" si="3"/>
        <v>0</v>
      </c>
      <c r="S15" s="374">
        <f t="shared" si="1"/>
        <v>0</v>
      </c>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row>
    <row r="16" spans="1:46" ht="15.75">
      <c r="A16" s="375" t="s">
        <v>361</v>
      </c>
      <c r="B16" s="370" t="s">
        <v>374</v>
      </c>
      <c r="C16" s="437"/>
      <c r="D16" s="437"/>
      <c r="E16" s="437"/>
      <c r="F16" s="437"/>
      <c r="G16" s="437"/>
      <c r="H16" s="437"/>
      <c r="I16" s="437"/>
      <c r="J16" s="437"/>
      <c r="K16" s="437"/>
      <c r="L16" s="437"/>
      <c r="M16" s="437"/>
      <c r="N16" s="437"/>
      <c r="O16" s="437"/>
      <c r="P16" s="371">
        <f t="shared" si="2"/>
        <v>0</v>
      </c>
      <c r="Q16" s="438"/>
      <c r="R16" s="376">
        <f t="shared" si="3"/>
        <v>0</v>
      </c>
      <c r="S16" s="377">
        <f t="shared" si="1"/>
        <v>0</v>
      </c>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row>
    <row r="17" spans="1:46" s="317" customFormat="1" ht="15.75">
      <c r="A17" s="323" t="s">
        <v>375</v>
      </c>
      <c r="B17" s="378" t="s">
        <v>376</v>
      </c>
      <c r="C17" s="379">
        <f aca="true" t="shared" si="4" ref="C17:Q17">SUM(C7:C16)</f>
        <v>0</v>
      </c>
      <c r="D17" s="379">
        <f t="shared" si="4"/>
        <v>0</v>
      </c>
      <c r="E17" s="379">
        <f t="shared" si="4"/>
        <v>0</v>
      </c>
      <c r="F17" s="379">
        <f t="shared" si="4"/>
        <v>0</v>
      </c>
      <c r="G17" s="379">
        <f t="shared" si="4"/>
        <v>0</v>
      </c>
      <c r="H17" s="379">
        <f t="shared" si="4"/>
        <v>0</v>
      </c>
      <c r="I17" s="379">
        <f t="shared" si="4"/>
        <v>0</v>
      </c>
      <c r="J17" s="379">
        <f t="shared" si="4"/>
        <v>0</v>
      </c>
      <c r="K17" s="379">
        <f t="shared" si="4"/>
        <v>0</v>
      </c>
      <c r="L17" s="379">
        <f t="shared" si="4"/>
        <v>0</v>
      </c>
      <c r="M17" s="379">
        <f t="shared" si="4"/>
        <v>0</v>
      </c>
      <c r="N17" s="379">
        <f t="shared" si="4"/>
        <v>0</v>
      </c>
      <c r="O17" s="379">
        <f t="shared" si="4"/>
        <v>0</v>
      </c>
      <c r="P17" s="379">
        <f t="shared" si="4"/>
        <v>0</v>
      </c>
      <c r="Q17" s="379">
        <f t="shared" si="4"/>
        <v>0</v>
      </c>
      <c r="R17" s="372">
        <f t="shared" si="3"/>
        <v>0</v>
      </c>
      <c r="S17" s="374">
        <f t="shared" si="1"/>
        <v>0</v>
      </c>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row>
    <row r="18" spans="1:46" s="317" customFormat="1" ht="7.5" customHeight="1">
      <c r="A18" s="323"/>
      <c r="B18" s="321"/>
      <c r="C18" s="380"/>
      <c r="D18" s="380"/>
      <c r="E18" s="380"/>
      <c r="F18" s="380"/>
      <c r="G18" s="380"/>
      <c r="H18" s="380"/>
      <c r="I18" s="380"/>
      <c r="J18" s="380"/>
      <c r="K18" s="380"/>
      <c r="L18" s="380"/>
      <c r="M18" s="380"/>
      <c r="N18" s="380"/>
      <c r="O18" s="380"/>
      <c r="P18" s="380"/>
      <c r="Q18" s="380"/>
      <c r="R18" s="381"/>
      <c r="S18" s="324"/>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row>
    <row r="19" spans="3:46" ht="35.25" customHeight="1">
      <c r="C19" s="372"/>
      <c r="D19" s="372"/>
      <c r="E19" s="372"/>
      <c r="F19" s="372"/>
      <c r="G19" s="372"/>
      <c r="H19" s="372"/>
      <c r="I19" s="372"/>
      <c r="J19" s="372"/>
      <c r="K19" s="372"/>
      <c r="L19" s="372"/>
      <c r="M19" s="372"/>
      <c r="N19" s="372"/>
      <c r="O19" s="372"/>
      <c r="P19" s="371"/>
      <c r="Q19" s="371"/>
      <c r="R19" s="450" t="s">
        <v>333</v>
      </c>
      <c r="S19" s="451"/>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row>
    <row r="20" spans="1:46" ht="15.75">
      <c r="A20" s="317" t="s">
        <v>280</v>
      </c>
      <c r="C20" s="372"/>
      <c r="D20" s="372"/>
      <c r="E20" s="372"/>
      <c r="F20" s="372"/>
      <c r="G20" s="372"/>
      <c r="H20" s="372"/>
      <c r="I20" s="372"/>
      <c r="J20" s="372"/>
      <c r="K20" s="372"/>
      <c r="L20" s="372"/>
      <c r="M20" s="372"/>
      <c r="N20" s="372"/>
      <c r="O20" s="372"/>
      <c r="P20" s="371"/>
      <c r="Q20" s="371"/>
      <c r="R20" s="372"/>
      <c r="S20" s="38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row>
    <row r="21" spans="1:46" ht="15.75">
      <c r="A21" t="s">
        <v>281</v>
      </c>
      <c r="B21" s="370" t="s">
        <v>373</v>
      </c>
      <c r="C21" s="437"/>
      <c r="D21" s="437"/>
      <c r="E21" s="437"/>
      <c r="F21" s="437"/>
      <c r="G21" s="437"/>
      <c r="H21" s="437"/>
      <c r="I21" s="437"/>
      <c r="J21" s="437"/>
      <c r="K21" s="437"/>
      <c r="L21" s="437"/>
      <c r="M21" s="437"/>
      <c r="N21" s="437"/>
      <c r="O21" s="437"/>
      <c r="P21" s="371">
        <f aca="true" t="shared" si="5" ref="P21:P27">SUM(C21:O21)</f>
        <v>0</v>
      </c>
      <c r="Q21" s="438"/>
      <c r="R21" s="372">
        <f aca="true" t="shared" si="6" ref="R21:R28">P21-Q21</f>
        <v>0</v>
      </c>
      <c r="S21" s="374">
        <f aca="true" t="shared" si="7" ref="S21:S28">+IF(Q21=0,0,+ROUND(R21/Q21,4))</f>
        <v>0</v>
      </c>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row>
    <row r="22" spans="1:46" ht="15.75">
      <c r="A22" t="s">
        <v>282</v>
      </c>
      <c r="B22" s="370" t="s">
        <v>373</v>
      </c>
      <c r="C22" s="437"/>
      <c r="D22" s="437"/>
      <c r="E22" s="437"/>
      <c r="F22" s="437"/>
      <c r="G22" s="437"/>
      <c r="H22" s="437"/>
      <c r="I22" s="437"/>
      <c r="J22" s="437"/>
      <c r="K22" s="437"/>
      <c r="L22" s="437"/>
      <c r="M22" s="437"/>
      <c r="N22" s="437"/>
      <c r="O22" s="437"/>
      <c r="P22" s="371">
        <f t="shared" si="5"/>
        <v>0</v>
      </c>
      <c r="Q22" s="438"/>
      <c r="R22" s="372">
        <f t="shared" si="6"/>
        <v>0</v>
      </c>
      <c r="S22" s="374">
        <f t="shared" si="7"/>
        <v>0</v>
      </c>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row>
    <row r="23" spans="1:46" ht="15.75">
      <c r="A23" t="s">
        <v>283</v>
      </c>
      <c r="B23" s="370" t="s">
        <v>373</v>
      </c>
      <c r="C23" s="437"/>
      <c r="D23" s="437"/>
      <c r="E23" s="437"/>
      <c r="F23" s="437"/>
      <c r="G23" s="437"/>
      <c r="H23" s="437"/>
      <c r="I23" s="437"/>
      <c r="J23" s="437"/>
      <c r="K23" s="437"/>
      <c r="L23" s="437"/>
      <c r="M23" s="437"/>
      <c r="N23" s="437"/>
      <c r="O23" s="437"/>
      <c r="P23" s="371">
        <f t="shared" si="5"/>
        <v>0</v>
      </c>
      <c r="Q23" s="438"/>
      <c r="R23" s="372">
        <f t="shared" si="6"/>
        <v>0</v>
      </c>
      <c r="S23" s="374">
        <f t="shared" si="7"/>
        <v>0</v>
      </c>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row>
    <row r="24" spans="1:46" ht="15.75">
      <c r="A24" t="s">
        <v>284</v>
      </c>
      <c r="B24" s="370" t="s">
        <v>373</v>
      </c>
      <c r="C24" s="437"/>
      <c r="D24" s="437"/>
      <c r="E24" s="437"/>
      <c r="F24" s="437"/>
      <c r="G24" s="437"/>
      <c r="H24" s="437"/>
      <c r="I24" s="437"/>
      <c r="J24" s="437"/>
      <c r="K24" s="437"/>
      <c r="L24" s="437"/>
      <c r="M24" s="437"/>
      <c r="N24" s="437"/>
      <c r="O24" s="437"/>
      <c r="P24" s="371">
        <f t="shared" si="5"/>
        <v>0</v>
      </c>
      <c r="Q24" s="438"/>
      <c r="R24" s="372">
        <f t="shared" si="6"/>
        <v>0</v>
      </c>
      <c r="S24" s="374">
        <f t="shared" si="7"/>
        <v>0</v>
      </c>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row>
    <row r="25" spans="1:46" ht="15.75">
      <c r="A25" t="s">
        <v>285</v>
      </c>
      <c r="B25" s="370" t="s">
        <v>373</v>
      </c>
      <c r="C25" s="437"/>
      <c r="D25" s="437"/>
      <c r="E25" s="437"/>
      <c r="F25" s="437"/>
      <c r="G25" s="437"/>
      <c r="H25" s="437"/>
      <c r="I25" s="437"/>
      <c r="J25" s="437"/>
      <c r="K25" s="437"/>
      <c r="L25" s="437"/>
      <c r="M25" s="437"/>
      <c r="N25" s="437"/>
      <c r="O25" s="437"/>
      <c r="P25" s="371">
        <f t="shared" si="5"/>
        <v>0</v>
      </c>
      <c r="Q25" s="438"/>
      <c r="R25" s="372">
        <f t="shared" si="6"/>
        <v>0</v>
      </c>
      <c r="S25" s="374">
        <f t="shared" si="7"/>
        <v>0</v>
      </c>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row>
    <row r="26" spans="1:46" ht="15.75">
      <c r="A26" t="s">
        <v>190</v>
      </c>
      <c r="B26" s="370" t="s">
        <v>373</v>
      </c>
      <c r="C26" s="437"/>
      <c r="D26" s="437"/>
      <c r="E26" s="437"/>
      <c r="F26" s="437"/>
      <c r="G26" s="437"/>
      <c r="H26" s="437"/>
      <c r="I26" s="437"/>
      <c r="J26" s="437"/>
      <c r="K26" s="437"/>
      <c r="L26" s="437"/>
      <c r="M26" s="437"/>
      <c r="N26" s="437"/>
      <c r="O26" s="437"/>
      <c r="P26" s="371">
        <f t="shared" si="5"/>
        <v>0</v>
      </c>
      <c r="Q26" s="438"/>
      <c r="R26" s="372">
        <f t="shared" si="6"/>
        <v>0</v>
      </c>
      <c r="S26" s="374">
        <f t="shared" si="7"/>
        <v>0</v>
      </c>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row>
    <row r="27" spans="1:46" ht="15.75">
      <c r="A27" t="s">
        <v>191</v>
      </c>
      <c r="B27" s="370" t="s">
        <v>373</v>
      </c>
      <c r="C27" s="437"/>
      <c r="D27" s="437"/>
      <c r="E27" s="437"/>
      <c r="F27" s="437"/>
      <c r="G27" s="437"/>
      <c r="H27" s="437"/>
      <c r="I27" s="437"/>
      <c r="J27" s="437"/>
      <c r="K27" s="437"/>
      <c r="L27" s="437"/>
      <c r="M27" s="437"/>
      <c r="N27" s="437"/>
      <c r="O27" s="437"/>
      <c r="P27" s="371">
        <f t="shared" si="5"/>
        <v>0</v>
      </c>
      <c r="Q27" s="438"/>
      <c r="R27" s="376">
        <f t="shared" si="6"/>
        <v>0</v>
      </c>
      <c r="S27" s="377">
        <f t="shared" si="7"/>
        <v>0</v>
      </c>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row>
    <row r="28" spans="1:46" s="317" customFormat="1" ht="15.75">
      <c r="A28" s="323" t="s">
        <v>192</v>
      </c>
      <c r="B28" s="378" t="s">
        <v>376</v>
      </c>
      <c r="C28" s="379">
        <f>SUM(C21:C27)</f>
        <v>0</v>
      </c>
      <c r="D28" s="379">
        <f aca="true" t="shared" si="8" ref="D28:Q28">SUM(D21:D27)</f>
        <v>0</v>
      </c>
      <c r="E28" s="379">
        <f t="shared" si="8"/>
        <v>0</v>
      </c>
      <c r="F28" s="379">
        <f t="shared" si="8"/>
        <v>0</v>
      </c>
      <c r="G28" s="379">
        <f t="shared" si="8"/>
        <v>0</v>
      </c>
      <c r="H28" s="379">
        <f t="shared" si="8"/>
        <v>0</v>
      </c>
      <c r="I28" s="379">
        <f t="shared" si="8"/>
        <v>0</v>
      </c>
      <c r="J28" s="379">
        <f t="shared" si="8"/>
        <v>0</v>
      </c>
      <c r="K28" s="379">
        <f t="shared" si="8"/>
        <v>0</v>
      </c>
      <c r="L28" s="379">
        <f t="shared" si="8"/>
        <v>0</v>
      </c>
      <c r="M28" s="379">
        <f t="shared" si="8"/>
        <v>0</v>
      </c>
      <c r="N28" s="379">
        <f t="shared" si="8"/>
        <v>0</v>
      </c>
      <c r="O28" s="379">
        <f t="shared" si="8"/>
        <v>0</v>
      </c>
      <c r="P28" s="379">
        <f t="shared" si="8"/>
        <v>0</v>
      </c>
      <c r="Q28" s="379">
        <f t="shared" si="8"/>
        <v>0</v>
      </c>
      <c r="R28" s="372">
        <f t="shared" si="6"/>
        <v>0</v>
      </c>
      <c r="S28" s="374">
        <f t="shared" si="7"/>
        <v>0</v>
      </c>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row>
    <row r="29" spans="1:46" s="317" customFormat="1" ht="15.75">
      <c r="A29" s="323"/>
      <c r="B29" s="378"/>
      <c r="C29" s="380"/>
      <c r="D29" s="380"/>
      <c r="E29" s="380"/>
      <c r="F29" s="380"/>
      <c r="G29" s="380"/>
      <c r="H29" s="380"/>
      <c r="I29" s="380"/>
      <c r="J29" s="380"/>
      <c r="K29" s="380"/>
      <c r="L29" s="380"/>
      <c r="M29" s="380"/>
      <c r="N29" s="380"/>
      <c r="O29" s="380"/>
      <c r="P29" s="380"/>
      <c r="Q29" s="380"/>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row>
    <row r="30" spans="1:46" s="317" customFormat="1" ht="16.5" thickBot="1">
      <c r="A30" s="323" t="s">
        <v>389</v>
      </c>
      <c r="B30" s="378" t="s">
        <v>376</v>
      </c>
      <c r="C30" s="380">
        <f>+C17-C28</f>
        <v>0</v>
      </c>
      <c r="D30" s="380">
        <f aca="true" t="shared" si="9" ref="D30:Q30">+D17-D28</f>
        <v>0</v>
      </c>
      <c r="E30" s="380">
        <f t="shared" si="9"/>
        <v>0</v>
      </c>
      <c r="F30" s="380">
        <f t="shared" si="9"/>
        <v>0</v>
      </c>
      <c r="G30" s="380">
        <f t="shared" si="9"/>
        <v>0</v>
      </c>
      <c r="H30" s="380">
        <f t="shared" si="9"/>
        <v>0</v>
      </c>
      <c r="I30" s="380">
        <f t="shared" si="9"/>
        <v>0</v>
      </c>
      <c r="J30" s="380">
        <f t="shared" si="9"/>
        <v>0</v>
      </c>
      <c r="K30" s="380">
        <f t="shared" si="9"/>
        <v>0</v>
      </c>
      <c r="L30" s="380">
        <f t="shared" si="9"/>
        <v>0</v>
      </c>
      <c r="M30" s="380">
        <f t="shared" si="9"/>
        <v>0</v>
      </c>
      <c r="N30" s="380">
        <f t="shared" si="9"/>
        <v>0</v>
      </c>
      <c r="O30" s="380">
        <f t="shared" si="9"/>
        <v>0</v>
      </c>
      <c r="P30" s="380">
        <f t="shared" si="9"/>
        <v>0</v>
      </c>
      <c r="Q30" s="383">
        <f t="shared" si="9"/>
        <v>0</v>
      </c>
      <c r="R30" s="372">
        <f>P30-Q30</f>
        <v>0</v>
      </c>
      <c r="S30" s="374">
        <f>+IF(Q30=0,0,+ROUND(R30/Q30,4))</f>
        <v>0</v>
      </c>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row>
    <row r="31" spans="1:46" s="317" customFormat="1" ht="15.75">
      <c r="A31" s="323"/>
      <c r="B31" s="321"/>
      <c r="C31" s="380"/>
      <c r="D31" s="380"/>
      <c r="E31" s="380"/>
      <c r="F31" s="380"/>
      <c r="G31" s="380"/>
      <c r="H31" s="380"/>
      <c r="I31" s="380"/>
      <c r="J31" s="380"/>
      <c r="K31" s="380"/>
      <c r="L31" s="380"/>
      <c r="M31" s="380"/>
      <c r="N31" s="380"/>
      <c r="O31" s="380"/>
      <c r="P31" s="380"/>
      <c r="Q31" s="380"/>
      <c r="R31" s="372"/>
      <c r="S31" s="372"/>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row>
    <row r="32" spans="1:46" ht="15.75">
      <c r="A32" s="317" t="s">
        <v>390</v>
      </c>
      <c r="C32" s="372"/>
      <c r="D32" s="372"/>
      <c r="E32" s="372"/>
      <c r="F32" s="372"/>
      <c r="G32" s="372"/>
      <c r="H32" s="372"/>
      <c r="I32" s="372"/>
      <c r="J32" s="372"/>
      <c r="K32" s="372"/>
      <c r="L32" s="372"/>
      <c r="M32" s="372"/>
      <c r="N32" s="372"/>
      <c r="O32" s="372"/>
      <c r="P32" s="371"/>
      <c r="Q32" s="384"/>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row>
    <row r="33" spans="1:46" ht="15.75">
      <c r="A33" s="375" t="s">
        <v>287</v>
      </c>
      <c r="B33" s="370" t="s">
        <v>288</v>
      </c>
      <c r="C33" s="437"/>
      <c r="D33" s="437"/>
      <c r="E33" s="437"/>
      <c r="F33" s="437"/>
      <c r="G33" s="437"/>
      <c r="H33" s="437"/>
      <c r="I33" s="437"/>
      <c r="J33" s="437"/>
      <c r="K33" s="437"/>
      <c r="L33" s="437"/>
      <c r="M33" s="437"/>
      <c r="N33" s="437"/>
      <c r="O33" s="437">
        <v>0</v>
      </c>
      <c r="P33" s="371">
        <f>SUM(C33:O33)</f>
        <v>0</v>
      </c>
      <c r="Q33" s="384"/>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row>
    <row r="34" spans="1:46" ht="15.75">
      <c r="A34" s="375"/>
      <c r="C34" s="372"/>
      <c r="D34" s="372"/>
      <c r="E34" s="372"/>
      <c r="F34" s="372"/>
      <c r="G34" s="372"/>
      <c r="H34" s="372"/>
      <c r="I34" s="372"/>
      <c r="J34" s="372"/>
      <c r="K34" s="372"/>
      <c r="L34" s="372"/>
      <c r="M34" s="372"/>
      <c r="N34" s="372"/>
      <c r="O34" s="372"/>
      <c r="P34" s="371"/>
      <c r="Q34" s="384"/>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row>
    <row r="35" spans="1:46" ht="15.75">
      <c r="A35" s="317" t="s">
        <v>289</v>
      </c>
      <c r="B35" s="370" t="s">
        <v>288</v>
      </c>
      <c r="C35" s="372"/>
      <c r="D35" s="372"/>
      <c r="E35" s="372"/>
      <c r="F35" s="372"/>
      <c r="G35" s="372"/>
      <c r="H35" s="372"/>
      <c r="I35" s="372"/>
      <c r="J35" s="372"/>
      <c r="K35" s="372"/>
      <c r="L35" s="372"/>
      <c r="M35" s="372"/>
      <c r="N35" s="372"/>
      <c r="O35" s="372">
        <v>0</v>
      </c>
      <c r="P35" s="371">
        <f>SUM(C35:O35)</f>
        <v>0</v>
      </c>
      <c r="Q35" s="384"/>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row>
    <row r="36" spans="1:46" ht="15.75">
      <c r="A36" s="375"/>
      <c r="C36" s="372"/>
      <c r="D36" s="372"/>
      <c r="E36" s="372"/>
      <c r="F36" s="372"/>
      <c r="G36" s="372"/>
      <c r="H36" s="372"/>
      <c r="I36" s="372"/>
      <c r="J36" s="372"/>
      <c r="K36" s="372"/>
      <c r="L36" s="372"/>
      <c r="M36" s="372"/>
      <c r="N36" s="372"/>
      <c r="O36" s="372"/>
      <c r="P36" s="371"/>
      <c r="Q36" s="384"/>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row>
    <row r="37" spans="1:46" ht="15.75">
      <c r="A37" s="317" t="s">
        <v>386</v>
      </c>
      <c r="C37" s="372"/>
      <c r="D37" s="372"/>
      <c r="E37" s="372"/>
      <c r="F37" s="372"/>
      <c r="G37" s="372"/>
      <c r="H37" s="372"/>
      <c r="I37" s="372"/>
      <c r="J37" s="372"/>
      <c r="K37" s="372"/>
      <c r="L37" s="372"/>
      <c r="M37" s="372"/>
      <c r="N37" s="372"/>
      <c r="O37" s="372"/>
      <c r="P37" s="371"/>
      <c r="Q37" s="384"/>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row>
    <row r="38" spans="1:46" ht="15.75">
      <c r="A38" s="375" t="s">
        <v>391</v>
      </c>
      <c r="B38" s="370" t="s">
        <v>392</v>
      </c>
      <c r="C38" s="437"/>
      <c r="D38" s="437"/>
      <c r="E38" s="437"/>
      <c r="F38" s="437"/>
      <c r="G38" s="437"/>
      <c r="H38" s="437"/>
      <c r="I38" s="437"/>
      <c r="J38" s="437"/>
      <c r="K38" s="437"/>
      <c r="L38" s="437"/>
      <c r="M38" s="437"/>
      <c r="N38" s="437"/>
      <c r="O38" s="437">
        <v>0</v>
      </c>
      <c r="P38" s="371">
        <f>SUM(C38:O38)</f>
        <v>0</v>
      </c>
      <c r="Q38" s="384"/>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row>
    <row r="39" spans="1:46" ht="15.75">
      <c r="A39" s="375" t="s">
        <v>298</v>
      </c>
      <c r="B39" s="370" t="s">
        <v>392</v>
      </c>
      <c r="C39" s="437"/>
      <c r="D39" s="437"/>
      <c r="E39" s="437"/>
      <c r="F39" s="437"/>
      <c r="G39" s="437"/>
      <c r="H39" s="437"/>
      <c r="I39" s="437"/>
      <c r="J39" s="437"/>
      <c r="K39" s="437"/>
      <c r="L39" s="437"/>
      <c r="M39" s="437"/>
      <c r="N39" s="437"/>
      <c r="O39" s="437">
        <v>0</v>
      </c>
      <c r="P39" s="371">
        <f>SUM(C39:O39)</f>
        <v>0</v>
      </c>
      <c r="Q39" s="384"/>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row>
    <row r="40" spans="1:46" ht="15.75">
      <c r="A40" s="375" t="s">
        <v>299</v>
      </c>
      <c r="B40" s="370" t="s">
        <v>392</v>
      </c>
      <c r="C40" s="439"/>
      <c r="D40" s="439"/>
      <c r="E40" s="439"/>
      <c r="F40" s="439"/>
      <c r="G40" s="439"/>
      <c r="H40" s="439"/>
      <c r="I40" s="439"/>
      <c r="J40" s="439"/>
      <c r="K40" s="439"/>
      <c r="L40" s="439"/>
      <c r="M40" s="439"/>
      <c r="N40" s="439"/>
      <c r="O40" s="439">
        <v>0</v>
      </c>
      <c r="P40" s="385">
        <f>SUM(C40:O40)</f>
        <v>0</v>
      </c>
      <c r="Q40" s="384"/>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row>
    <row r="41" spans="1:46" ht="15.75">
      <c r="A41" s="325" t="s">
        <v>300</v>
      </c>
      <c r="B41" s="378" t="s">
        <v>376</v>
      </c>
      <c r="C41" s="372">
        <f>+C38-C39-C40</f>
        <v>0</v>
      </c>
      <c r="D41" s="372">
        <f aca="true" t="shared" si="10" ref="D41:P41">+D38-D39-D40</f>
        <v>0</v>
      </c>
      <c r="E41" s="372">
        <f t="shared" si="10"/>
        <v>0</v>
      </c>
      <c r="F41" s="372">
        <f t="shared" si="10"/>
        <v>0</v>
      </c>
      <c r="G41" s="372">
        <f t="shared" si="10"/>
        <v>0</v>
      </c>
      <c r="H41" s="372">
        <f t="shared" si="10"/>
        <v>0</v>
      </c>
      <c r="I41" s="372">
        <f t="shared" si="10"/>
        <v>0</v>
      </c>
      <c r="J41" s="372">
        <f t="shared" si="10"/>
        <v>0</v>
      </c>
      <c r="K41" s="372">
        <f t="shared" si="10"/>
        <v>0</v>
      </c>
      <c r="L41" s="372">
        <f t="shared" si="10"/>
        <v>0</v>
      </c>
      <c r="M41" s="372">
        <f t="shared" si="10"/>
        <v>0</v>
      </c>
      <c r="N41" s="372">
        <f t="shared" si="10"/>
        <v>0</v>
      </c>
      <c r="O41" s="372">
        <f t="shared" si="10"/>
        <v>0</v>
      </c>
      <c r="P41" s="372">
        <f t="shared" si="10"/>
        <v>0</v>
      </c>
      <c r="Q41" s="386"/>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row>
    <row r="42" spans="1:46" ht="15.75">
      <c r="A42" s="375"/>
      <c r="C42" s="372"/>
      <c r="D42" s="372"/>
      <c r="E42" s="372"/>
      <c r="F42" s="372"/>
      <c r="G42" s="372"/>
      <c r="H42" s="372"/>
      <c r="I42" s="372"/>
      <c r="J42" s="372"/>
      <c r="K42" s="372"/>
      <c r="L42" s="372"/>
      <c r="M42" s="372"/>
      <c r="N42" s="372"/>
      <c r="O42" s="372"/>
      <c r="P42" s="371"/>
      <c r="Q42" s="384"/>
      <c r="R42" s="371"/>
      <c r="S42" s="371"/>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row>
    <row r="43" spans="1:46" s="317" customFormat="1" ht="16.5" thickBot="1">
      <c r="A43" s="317" t="s">
        <v>301</v>
      </c>
      <c r="B43" s="378" t="s">
        <v>376</v>
      </c>
      <c r="C43" s="383">
        <f aca="true" t="shared" si="11" ref="C43:P43">+C5+C30+C33+C35+C41</f>
        <v>0</v>
      </c>
      <c r="D43" s="383">
        <f t="shared" si="11"/>
        <v>0</v>
      </c>
      <c r="E43" s="383">
        <f t="shared" si="11"/>
        <v>0</v>
      </c>
      <c r="F43" s="383">
        <f t="shared" si="11"/>
        <v>0</v>
      </c>
      <c r="G43" s="383">
        <f t="shared" si="11"/>
        <v>0</v>
      </c>
      <c r="H43" s="383">
        <f t="shared" si="11"/>
        <v>0</v>
      </c>
      <c r="I43" s="383">
        <f t="shared" si="11"/>
        <v>0</v>
      </c>
      <c r="J43" s="383">
        <f t="shared" si="11"/>
        <v>0</v>
      </c>
      <c r="K43" s="383">
        <f t="shared" si="11"/>
        <v>0</v>
      </c>
      <c r="L43" s="383">
        <f t="shared" si="11"/>
        <v>0</v>
      </c>
      <c r="M43" s="383">
        <f t="shared" si="11"/>
        <v>0</v>
      </c>
      <c r="N43" s="383">
        <f t="shared" si="11"/>
        <v>0</v>
      </c>
      <c r="O43" s="383">
        <f t="shared" si="11"/>
        <v>0</v>
      </c>
      <c r="P43" s="383">
        <f t="shared" si="11"/>
        <v>0</v>
      </c>
      <c r="Q43" s="380"/>
      <c r="R43" s="372"/>
      <c r="S43" s="372"/>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row>
    <row r="44" spans="3:46" ht="15.75">
      <c r="C44" s="372"/>
      <c r="D44" s="372"/>
      <c r="E44" s="372"/>
      <c r="F44" s="372"/>
      <c r="G44" s="372"/>
      <c r="H44" s="372"/>
      <c r="I44" s="372"/>
      <c r="J44" s="372"/>
      <c r="K44" s="372"/>
      <c r="L44" s="372"/>
      <c r="M44" s="372"/>
      <c r="N44" s="372"/>
      <c r="O44" s="372"/>
      <c r="P44" s="371"/>
      <c r="Q44" s="384"/>
      <c r="R44" s="387"/>
      <c r="S44" s="387"/>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row>
    <row r="45" spans="1:46" s="389" customFormat="1" ht="15.75">
      <c r="A45" s="373" t="s">
        <v>302</v>
      </c>
      <c r="B45" s="370" t="s">
        <v>392</v>
      </c>
      <c r="C45" s="440">
        <v>0</v>
      </c>
      <c r="D45" s="440">
        <v>0</v>
      </c>
      <c r="E45" s="440">
        <v>0</v>
      </c>
      <c r="F45" s="440">
        <v>0</v>
      </c>
      <c r="G45" s="440">
        <v>0</v>
      </c>
      <c r="H45" s="440">
        <v>0</v>
      </c>
      <c r="I45" s="440">
        <v>0</v>
      </c>
      <c r="J45" s="440">
        <v>0</v>
      </c>
      <c r="K45" s="440">
        <v>0</v>
      </c>
      <c r="L45" s="440">
        <v>0</v>
      </c>
      <c r="M45" s="440">
        <v>0</v>
      </c>
      <c r="N45" s="440">
        <v>0</v>
      </c>
      <c r="O45" s="440">
        <v>0</v>
      </c>
      <c r="P45" s="388">
        <v>0</v>
      </c>
      <c r="Q45" s="384"/>
      <c r="R45" s="372"/>
      <c r="S45" s="372"/>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row>
    <row r="46" spans="3:46" ht="15.75">
      <c r="C46" s="372"/>
      <c r="D46" s="372"/>
      <c r="E46" s="372"/>
      <c r="F46" s="372"/>
      <c r="G46" s="372"/>
      <c r="H46" s="372"/>
      <c r="I46" s="372"/>
      <c r="J46" s="372"/>
      <c r="K46" s="372"/>
      <c r="L46" s="372"/>
      <c r="M46" s="372"/>
      <c r="N46" s="372"/>
      <c r="O46" s="372"/>
      <c r="P46" s="371"/>
      <c r="Q46" s="380"/>
      <c r="R46" s="371"/>
      <c r="S46" s="371"/>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row>
    <row r="47" spans="1:46" s="317" customFormat="1" ht="16.5" thickBot="1">
      <c r="A47" s="317" t="s">
        <v>303</v>
      </c>
      <c r="B47" s="378" t="s">
        <v>376</v>
      </c>
      <c r="C47" s="390">
        <f>+C43-C45</f>
        <v>0</v>
      </c>
      <c r="D47" s="390">
        <f aca="true" t="shared" si="12" ref="D47:P47">+D43-D45</f>
        <v>0</v>
      </c>
      <c r="E47" s="390">
        <f t="shared" si="12"/>
        <v>0</v>
      </c>
      <c r="F47" s="390">
        <f t="shared" si="12"/>
        <v>0</v>
      </c>
      <c r="G47" s="390">
        <f t="shared" si="12"/>
        <v>0</v>
      </c>
      <c r="H47" s="390">
        <f t="shared" si="12"/>
        <v>0</v>
      </c>
      <c r="I47" s="390">
        <f t="shared" si="12"/>
        <v>0</v>
      </c>
      <c r="J47" s="390">
        <f t="shared" si="12"/>
        <v>0</v>
      </c>
      <c r="K47" s="390">
        <f t="shared" si="12"/>
        <v>0</v>
      </c>
      <c r="L47" s="390">
        <f t="shared" si="12"/>
        <v>0</v>
      </c>
      <c r="M47" s="390">
        <f t="shared" si="12"/>
        <v>0</v>
      </c>
      <c r="N47" s="390">
        <f t="shared" si="12"/>
        <v>0</v>
      </c>
      <c r="O47" s="390">
        <f t="shared" si="12"/>
        <v>0</v>
      </c>
      <c r="P47" s="390">
        <f t="shared" si="12"/>
        <v>0</v>
      </c>
      <c r="Q47" s="380"/>
      <c r="R47" s="372"/>
      <c r="S47" s="372"/>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row>
    <row r="48" spans="3:46" ht="15.75">
      <c r="C48" s="372"/>
      <c r="D48" s="372"/>
      <c r="E48" s="372"/>
      <c r="F48" s="372"/>
      <c r="G48" s="372"/>
      <c r="H48" s="372"/>
      <c r="I48" s="372"/>
      <c r="J48" s="372"/>
      <c r="K48" s="372"/>
      <c r="L48" s="372"/>
      <c r="M48" s="372"/>
      <c r="N48" s="372"/>
      <c r="O48" s="372"/>
      <c r="P48" s="371"/>
      <c r="Q48" s="380"/>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row>
    <row r="49" spans="1:19" ht="15.75">
      <c r="A49" s="326" t="s">
        <v>304</v>
      </c>
      <c r="B49" s="327"/>
      <c r="C49" s="391" t="s">
        <v>180</v>
      </c>
      <c r="D49" s="391" t="s">
        <v>182</v>
      </c>
      <c r="E49" s="391" t="s">
        <v>183</v>
      </c>
      <c r="F49" s="391" t="s">
        <v>184</v>
      </c>
      <c r="G49" s="391" t="s">
        <v>185</v>
      </c>
      <c r="H49" s="391" t="s">
        <v>205</v>
      </c>
      <c r="I49" s="391" t="s">
        <v>206</v>
      </c>
      <c r="J49" s="391" t="s">
        <v>207</v>
      </c>
      <c r="K49" s="391" t="s">
        <v>253</v>
      </c>
      <c r="L49" s="391" t="s">
        <v>254</v>
      </c>
      <c r="M49" s="391" t="s">
        <v>255</v>
      </c>
      <c r="N49" s="391" t="s">
        <v>256</v>
      </c>
      <c r="O49" s="391"/>
      <c r="P49" s="326"/>
      <c r="Q49" s="328"/>
      <c r="R49" s="392"/>
      <c r="S49" s="392"/>
    </row>
    <row r="50" spans="1:42" s="317" customFormat="1" ht="18.75">
      <c r="A50" s="329" t="s">
        <v>305</v>
      </c>
      <c r="B50" s="370" t="s">
        <v>288</v>
      </c>
      <c r="C50" s="393">
        <f aca="true" t="shared" si="13" ref="C50:N50">+C43</f>
        <v>0</v>
      </c>
      <c r="D50" s="393">
        <f t="shared" si="13"/>
        <v>0</v>
      </c>
      <c r="E50" s="393">
        <f t="shared" si="13"/>
        <v>0</v>
      </c>
      <c r="F50" s="393">
        <f t="shared" si="13"/>
        <v>0</v>
      </c>
      <c r="G50" s="393">
        <f t="shared" si="13"/>
        <v>0</v>
      </c>
      <c r="H50" s="393">
        <f t="shared" si="13"/>
        <v>0</v>
      </c>
      <c r="I50" s="393">
        <f t="shared" si="13"/>
        <v>0</v>
      </c>
      <c r="J50" s="393">
        <f t="shared" si="13"/>
        <v>0</v>
      </c>
      <c r="K50" s="393">
        <f t="shared" si="13"/>
        <v>0</v>
      </c>
      <c r="L50" s="393">
        <f t="shared" si="13"/>
        <v>0</v>
      </c>
      <c r="M50" s="393">
        <f t="shared" si="13"/>
        <v>0</v>
      </c>
      <c r="N50" s="393">
        <f t="shared" si="13"/>
        <v>0</v>
      </c>
      <c r="O50" s="393"/>
      <c r="P50" s="392"/>
      <c r="Q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row>
    <row r="51" spans="1:15" s="317" customFormat="1" ht="18.75">
      <c r="A51" s="329" t="s">
        <v>306</v>
      </c>
      <c r="B51" s="370" t="s">
        <v>288</v>
      </c>
      <c r="C51" s="441"/>
      <c r="D51" s="441"/>
      <c r="E51" s="441"/>
      <c r="F51" s="441"/>
      <c r="G51" s="441"/>
      <c r="H51" s="441"/>
      <c r="I51" s="441"/>
      <c r="J51" s="441"/>
      <c r="K51" s="441"/>
      <c r="L51" s="441"/>
      <c r="M51" s="441"/>
      <c r="N51" s="441"/>
      <c r="O51" s="393"/>
    </row>
    <row r="52" spans="1:19" s="317" customFormat="1" ht="18.75">
      <c r="A52" s="329" t="s">
        <v>307</v>
      </c>
      <c r="B52" s="370" t="s">
        <v>288</v>
      </c>
      <c r="C52" s="441"/>
      <c r="D52" s="441"/>
      <c r="E52" s="441"/>
      <c r="F52" s="441"/>
      <c r="G52" s="441"/>
      <c r="H52" s="441"/>
      <c r="I52" s="441"/>
      <c r="J52" s="441"/>
      <c r="K52" s="441"/>
      <c r="L52" s="441"/>
      <c r="M52" s="441"/>
      <c r="N52" s="441"/>
      <c r="O52" s="393"/>
      <c r="R52" s="372"/>
      <c r="S52" s="372"/>
    </row>
    <row r="53" spans="3:46" ht="15.75">
      <c r="C53" s="372"/>
      <c r="D53" s="372"/>
      <c r="E53" s="372"/>
      <c r="F53" s="372"/>
      <c r="G53" s="372"/>
      <c r="H53" s="372"/>
      <c r="I53" s="372"/>
      <c r="J53" s="372"/>
      <c r="K53" s="372"/>
      <c r="L53" s="372"/>
      <c r="M53" s="372"/>
      <c r="N53" s="372"/>
      <c r="O53" s="372"/>
      <c r="P53" s="371"/>
      <c r="Q53" s="371"/>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row>
    <row r="54" spans="3:46" ht="15.75">
      <c r="C54" s="372"/>
      <c r="D54" s="372"/>
      <c r="E54" s="372"/>
      <c r="F54" s="372"/>
      <c r="G54" s="372"/>
      <c r="H54" s="372"/>
      <c r="I54" s="372"/>
      <c r="J54" s="372"/>
      <c r="K54" s="372"/>
      <c r="L54" s="372"/>
      <c r="M54" s="372"/>
      <c r="N54" s="372"/>
      <c r="O54" s="372"/>
      <c r="P54" s="371"/>
      <c r="Q54" s="371"/>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row>
    <row r="55" spans="1:46" s="401" customFormat="1" ht="17.25" customHeight="1">
      <c r="A55" s="330" t="s">
        <v>398</v>
      </c>
      <c r="B55" s="394"/>
      <c r="C55" s="395" t="s">
        <v>180</v>
      </c>
      <c r="D55" s="396" t="s">
        <v>182</v>
      </c>
      <c r="E55" s="396" t="s">
        <v>183</v>
      </c>
      <c r="F55" s="396" t="s">
        <v>184</v>
      </c>
      <c r="G55" s="396" t="s">
        <v>185</v>
      </c>
      <c r="H55" s="396" t="s">
        <v>205</v>
      </c>
      <c r="I55" s="396" t="s">
        <v>206</v>
      </c>
      <c r="J55" s="397" t="s">
        <v>207</v>
      </c>
      <c r="K55" s="396" t="s">
        <v>253</v>
      </c>
      <c r="L55" s="396" t="s">
        <v>254</v>
      </c>
      <c r="M55" s="396" t="s">
        <v>255</v>
      </c>
      <c r="N55" s="398" t="s">
        <v>256</v>
      </c>
      <c r="O55" s="399"/>
      <c r="P55" s="400"/>
      <c r="Q55" s="400"/>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row>
    <row r="56" spans="1:46" s="401" customFormat="1" ht="17.25" customHeight="1">
      <c r="A56" s="331" t="s">
        <v>281</v>
      </c>
      <c r="B56" s="378" t="s">
        <v>376</v>
      </c>
      <c r="C56" s="402">
        <f>+IF(C$28=0,0,+ROUND(C21/C$28,4))</f>
        <v>0</v>
      </c>
      <c r="D56" s="402">
        <f aca="true" t="shared" si="14" ref="D56:N56">+IF(D$28=0,0,+ROUND(D21/D$28,4))</f>
        <v>0</v>
      </c>
      <c r="E56" s="402">
        <f t="shared" si="14"/>
        <v>0</v>
      </c>
      <c r="F56" s="402">
        <f t="shared" si="14"/>
        <v>0</v>
      </c>
      <c r="G56" s="402">
        <f t="shared" si="14"/>
        <v>0</v>
      </c>
      <c r="H56" s="402">
        <f t="shared" si="14"/>
        <v>0</v>
      </c>
      <c r="I56" s="402">
        <f t="shared" si="14"/>
        <v>0</v>
      </c>
      <c r="J56" s="402">
        <f t="shared" si="14"/>
        <v>0</v>
      </c>
      <c r="K56" s="402">
        <f t="shared" si="14"/>
        <v>0</v>
      </c>
      <c r="L56" s="402">
        <f t="shared" si="14"/>
        <v>0</v>
      </c>
      <c r="M56" s="402">
        <f t="shared" si="14"/>
        <v>0</v>
      </c>
      <c r="N56" s="402">
        <f t="shared" si="14"/>
        <v>0</v>
      </c>
      <c r="O56" s="399"/>
      <c r="P56" s="400"/>
      <c r="Q56" s="400"/>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row>
    <row r="57" spans="1:46" s="401" customFormat="1" ht="17.25" customHeight="1">
      <c r="A57" s="331" t="s">
        <v>399</v>
      </c>
      <c r="B57" s="378" t="s">
        <v>376</v>
      </c>
      <c r="C57" s="402">
        <f aca="true" t="shared" si="15" ref="C57:N58">+IF(C$28=0,0,+ROUND(C22/C$28,4))</f>
        <v>0</v>
      </c>
      <c r="D57" s="402">
        <f t="shared" si="15"/>
        <v>0</v>
      </c>
      <c r="E57" s="402">
        <f t="shared" si="15"/>
        <v>0</v>
      </c>
      <c r="F57" s="402">
        <f t="shared" si="15"/>
        <v>0</v>
      </c>
      <c r="G57" s="402">
        <f t="shared" si="15"/>
        <v>0</v>
      </c>
      <c r="H57" s="402">
        <f t="shared" si="15"/>
        <v>0</v>
      </c>
      <c r="I57" s="402">
        <f t="shared" si="15"/>
        <v>0</v>
      </c>
      <c r="J57" s="402">
        <f t="shared" si="15"/>
        <v>0</v>
      </c>
      <c r="K57" s="402">
        <f t="shared" si="15"/>
        <v>0</v>
      </c>
      <c r="L57" s="402">
        <f t="shared" si="15"/>
        <v>0</v>
      </c>
      <c r="M57" s="402">
        <f t="shared" si="15"/>
        <v>0</v>
      </c>
      <c r="N57" s="402">
        <f t="shared" si="15"/>
        <v>0</v>
      </c>
      <c r="O57" s="399"/>
      <c r="P57" s="400"/>
      <c r="Q57" s="400"/>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row>
    <row r="58" spans="1:46" s="401" customFormat="1" ht="17.25" customHeight="1">
      <c r="A58" s="331" t="s">
        <v>283</v>
      </c>
      <c r="B58" s="378" t="s">
        <v>376</v>
      </c>
      <c r="C58" s="403">
        <f t="shared" si="15"/>
        <v>0</v>
      </c>
      <c r="D58" s="403">
        <f t="shared" si="15"/>
        <v>0</v>
      </c>
      <c r="E58" s="403">
        <f t="shared" si="15"/>
        <v>0</v>
      </c>
      <c r="F58" s="403">
        <f t="shared" si="15"/>
        <v>0</v>
      </c>
      <c r="G58" s="403">
        <f t="shared" si="15"/>
        <v>0</v>
      </c>
      <c r="H58" s="403">
        <f t="shared" si="15"/>
        <v>0</v>
      </c>
      <c r="I58" s="403">
        <f t="shared" si="15"/>
        <v>0</v>
      </c>
      <c r="J58" s="403">
        <f t="shared" si="15"/>
        <v>0</v>
      </c>
      <c r="K58" s="403">
        <f t="shared" si="15"/>
        <v>0</v>
      </c>
      <c r="L58" s="403">
        <f t="shared" si="15"/>
        <v>0</v>
      </c>
      <c r="M58" s="403">
        <f t="shared" si="15"/>
        <v>0</v>
      </c>
      <c r="N58" s="403">
        <f t="shared" si="15"/>
        <v>0</v>
      </c>
      <c r="O58" s="399"/>
      <c r="P58" s="400"/>
      <c r="Q58" s="400"/>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row>
    <row r="59" spans="1:46" s="401" customFormat="1" ht="17.25" customHeight="1">
      <c r="A59" s="332" t="s">
        <v>400</v>
      </c>
      <c r="B59" s="378" t="s">
        <v>376</v>
      </c>
      <c r="C59" s="402">
        <f>SUM(C56:C58)</f>
        <v>0</v>
      </c>
      <c r="D59" s="402">
        <f aca="true" t="shared" si="16" ref="D59:N59">SUM(D56:D58)</f>
        <v>0</v>
      </c>
      <c r="E59" s="402">
        <f t="shared" si="16"/>
        <v>0</v>
      </c>
      <c r="F59" s="402">
        <f t="shared" si="16"/>
        <v>0</v>
      </c>
      <c r="G59" s="402">
        <f t="shared" si="16"/>
        <v>0</v>
      </c>
      <c r="H59" s="402">
        <f t="shared" si="16"/>
        <v>0</v>
      </c>
      <c r="I59" s="402">
        <f t="shared" si="16"/>
        <v>0</v>
      </c>
      <c r="J59" s="402">
        <f t="shared" si="16"/>
        <v>0</v>
      </c>
      <c r="K59" s="402">
        <f t="shared" si="16"/>
        <v>0</v>
      </c>
      <c r="L59" s="402">
        <f t="shared" si="16"/>
        <v>0</v>
      </c>
      <c r="M59" s="402">
        <f t="shared" si="16"/>
        <v>0</v>
      </c>
      <c r="N59" s="402">
        <f t="shared" si="16"/>
        <v>0</v>
      </c>
      <c r="O59" s="399"/>
      <c r="P59" s="400"/>
      <c r="Q59" s="400"/>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row>
    <row r="60" spans="1:46" s="401" customFormat="1" ht="17.25" customHeight="1">
      <c r="A60" s="331" t="s">
        <v>284</v>
      </c>
      <c r="B60" s="378" t="s">
        <v>376</v>
      </c>
      <c r="C60" s="402">
        <f aca="true" t="shared" si="17" ref="C60:N64">+IF(C$28=0,0,+ROUND(C24/C$28,4))</f>
        <v>0</v>
      </c>
      <c r="D60" s="402">
        <f t="shared" si="17"/>
        <v>0</v>
      </c>
      <c r="E60" s="402">
        <f t="shared" si="17"/>
        <v>0</v>
      </c>
      <c r="F60" s="402">
        <f t="shared" si="17"/>
        <v>0</v>
      </c>
      <c r="G60" s="402">
        <f t="shared" si="17"/>
        <v>0</v>
      </c>
      <c r="H60" s="402">
        <f t="shared" si="17"/>
        <v>0</v>
      </c>
      <c r="I60" s="402">
        <f t="shared" si="17"/>
        <v>0</v>
      </c>
      <c r="J60" s="402">
        <f t="shared" si="17"/>
        <v>0</v>
      </c>
      <c r="K60" s="402">
        <f t="shared" si="17"/>
        <v>0</v>
      </c>
      <c r="L60" s="402">
        <f t="shared" si="17"/>
        <v>0</v>
      </c>
      <c r="M60" s="402">
        <f t="shared" si="17"/>
        <v>0</v>
      </c>
      <c r="N60" s="402">
        <f t="shared" si="17"/>
        <v>0</v>
      </c>
      <c r="O60" s="399"/>
      <c r="P60" s="400"/>
      <c r="Q60" s="400"/>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row>
    <row r="61" spans="1:46" s="401" customFormat="1" ht="17.25" customHeight="1">
      <c r="A61" s="331" t="s">
        <v>285</v>
      </c>
      <c r="B61" s="378" t="s">
        <v>376</v>
      </c>
      <c r="C61" s="402">
        <f t="shared" si="17"/>
        <v>0</v>
      </c>
      <c r="D61" s="402">
        <f t="shared" si="17"/>
        <v>0</v>
      </c>
      <c r="E61" s="402">
        <f t="shared" si="17"/>
        <v>0</v>
      </c>
      <c r="F61" s="402">
        <f t="shared" si="17"/>
        <v>0</v>
      </c>
      <c r="G61" s="402">
        <f t="shared" si="17"/>
        <v>0</v>
      </c>
      <c r="H61" s="402">
        <f t="shared" si="17"/>
        <v>0</v>
      </c>
      <c r="I61" s="402">
        <f t="shared" si="17"/>
        <v>0</v>
      </c>
      <c r="J61" s="402">
        <f t="shared" si="17"/>
        <v>0</v>
      </c>
      <c r="K61" s="402">
        <f t="shared" si="17"/>
        <v>0</v>
      </c>
      <c r="L61" s="402">
        <f t="shared" si="17"/>
        <v>0</v>
      </c>
      <c r="M61" s="402">
        <f t="shared" si="17"/>
        <v>0</v>
      </c>
      <c r="N61" s="402">
        <f t="shared" si="17"/>
        <v>0</v>
      </c>
      <c r="O61" s="399"/>
      <c r="P61" s="400"/>
      <c r="Q61" s="400"/>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row>
    <row r="62" spans="1:46" s="401" customFormat="1" ht="17.25" customHeight="1">
      <c r="A62" s="331" t="s">
        <v>190</v>
      </c>
      <c r="B62" s="378" t="s">
        <v>376</v>
      </c>
      <c r="C62" s="402">
        <f t="shared" si="17"/>
        <v>0</v>
      </c>
      <c r="D62" s="402">
        <f t="shared" si="17"/>
        <v>0</v>
      </c>
      <c r="E62" s="402">
        <f t="shared" si="17"/>
        <v>0</v>
      </c>
      <c r="F62" s="402">
        <f t="shared" si="17"/>
        <v>0</v>
      </c>
      <c r="G62" s="402">
        <f t="shared" si="17"/>
        <v>0</v>
      </c>
      <c r="H62" s="402">
        <f t="shared" si="17"/>
        <v>0</v>
      </c>
      <c r="I62" s="402">
        <f t="shared" si="17"/>
        <v>0</v>
      </c>
      <c r="J62" s="402">
        <f t="shared" si="17"/>
        <v>0</v>
      </c>
      <c r="K62" s="402">
        <f t="shared" si="17"/>
        <v>0</v>
      </c>
      <c r="L62" s="402">
        <f t="shared" si="17"/>
        <v>0</v>
      </c>
      <c r="M62" s="402">
        <f t="shared" si="17"/>
        <v>0</v>
      </c>
      <c r="N62" s="402">
        <f t="shared" si="17"/>
        <v>0</v>
      </c>
      <c r="O62" s="399"/>
      <c r="P62" s="400"/>
      <c r="Q62" s="400"/>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row>
    <row r="63" spans="1:46" s="401" customFormat="1" ht="17.25" customHeight="1">
      <c r="A63" s="331" t="s">
        <v>401</v>
      </c>
      <c r="B63" s="378" t="s">
        <v>376</v>
      </c>
      <c r="C63" s="403">
        <f t="shared" si="17"/>
        <v>0</v>
      </c>
      <c r="D63" s="403">
        <f t="shared" si="17"/>
        <v>0</v>
      </c>
      <c r="E63" s="403">
        <f t="shared" si="17"/>
        <v>0</v>
      </c>
      <c r="F63" s="403">
        <f t="shared" si="17"/>
        <v>0</v>
      </c>
      <c r="G63" s="403">
        <f t="shared" si="17"/>
        <v>0</v>
      </c>
      <c r="H63" s="403">
        <f t="shared" si="17"/>
        <v>0</v>
      </c>
      <c r="I63" s="403">
        <f t="shared" si="17"/>
        <v>0</v>
      </c>
      <c r="J63" s="403">
        <f t="shared" si="17"/>
        <v>0</v>
      </c>
      <c r="K63" s="403">
        <f t="shared" si="17"/>
        <v>0</v>
      </c>
      <c r="L63" s="403">
        <f t="shared" si="17"/>
        <v>0</v>
      </c>
      <c r="M63" s="403">
        <f t="shared" si="17"/>
        <v>0</v>
      </c>
      <c r="N63" s="403">
        <f t="shared" si="17"/>
        <v>0</v>
      </c>
      <c r="O63" s="399"/>
      <c r="P63" s="400"/>
      <c r="Q63" s="400"/>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row>
    <row r="64" spans="1:46" s="401" customFormat="1" ht="17.25" customHeight="1">
      <c r="A64" s="332" t="s">
        <v>402</v>
      </c>
      <c r="B64" s="378" t="s">
        <v>376</v>
      </c>
      <c r="C64" s="404">
        <f t="shared" si="17"/>
        <v>0</v>
      </c>
      <c r="D64" s="404">
        <f t="shared" si="17"/>
        <v>0</v>
      </c>
      <c r="E64" s="404">
        <f t="shared" si="17"/>
        <v>0</v>
      </c>
      <c r="F64" s="404">
        <f t="shared" si="17"/>
        <v>0</v>
      </c>
      <c r="G64" s="404">
        <f t="shared" si="17"/>
        <v>0</v>
      </c>
      <c r="H64" s="404">
        <f t="shared" si="17"/>
        <v>0</v>
      </c>
      <c r="I64" s="404">
        <f t="shared" si="17"/>
        <v>0</v>
      </c>
      <c r="J64" s="404">
        <f t="shared" si="17"/>
        <v>0</v>
      </c>
      <c r="K64" s="404">
        <f t="shared" si="17"/>
        <v>0</v>
      </c>
      <c r="L64" s="404">
        <f t="shared" si="17"/>
        <v>0</v>
      </c>
      <c r="M64" s="404">
        <f t="shared" si="17"/>
        <v>0</v>
      </c>
      <c r="N64" s="404">
        <f t="shared" si="17"/>
        <v>0</v>
      </c>
      <c r="O64" s="399"/>
      <c r="P64" s="400"/>
      <c r="Q64" s="400"/>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row>
    <row r="65" spans="3:46" ht="15.75">
      <c r="C65" s="372"/>
      <c r="D65" s="372"/>
      <c r="E65" s="372"/>
      <c r="F65" s="372"/>
      <c r="G65" s="372"/>
      <c r="H65" s="372"/>
      <c r="I65" s="372"/>
      <c r="J65" s="372"/>
      <c r="K65" s="372"/>
      <c r="L65" s="372"/>
      <c r="M65" s="372"/>
      <c r="N65" s="372"/>
      <c r="O65" s="372"/>
      <c r="P65" s="371"/>
      <c r="Q65" s="371"/>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row>
    <row r="66" spans="3:46" ht="15.75">
      <c r="C66" s="372"/>
      <c r="D66" s="372"/>
      <c r="E66" s="372"/>
      <c r="F66" s="372"/>
      <c r="G66" s="372"/>
      <c r="H66" s="372"/>
      <c r="I66" s="372"/>
      <c r="J66" s="372"/>
      <c r="K66" s="372"/>
      <c r="L66" s="372"/>
      <c r="M66" s="372"/>
      <c r="N66" s="372"/>
      <c r="O66" s="372"/>
      <c r="P66" s="371"/>
      <c r="Q66" s="371"/>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row>
    <row r="67" spans="3:46" ht="15.75">
      <c r="C67" s="372"/>
      <c r="D67" s="372"/>
      <c r="E67" s="372"/>
      <c r="F67" s="372"/>
      <c r="G67" s="372"/>
      <c r="H67" s="372"/>
      <c r="I67" s="372"/>
      <c r="J67" s="372"/>
      <c r="K67" s="372"/>
      <c r="L67" s="372"/>
      <c r="M67" s="372"/>
      <c r="N67" s="372"/>
      <c r="O67" s="372"/>
      <c r="P67" s="371"/>
      <c r="Q67" s="371"/>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row>
    <row r="68" spans="3:46" ht="15.75">
      <c r="C68" s="372"/>
      <c r="D68" s="372"/>
      <c r="E68" s="372"/>
      <c r="F68" s="372"/>
      <c r="G68" s="372"/>
      <c r="H68" s="372"/>
      <c r="I68" s="372"/>
      <c r="J68" s="372"/>
      <c r="K68" s="372"/>
      <c r="L68" s="372"/>
      <c r="M68" s="372"/>
      <c r="N68" s="372"/>
      <c r="O68" s="372"/>
      <c r="P68" s="371"/>
      <c r="Q68" s="371"/>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row>
    <row r="69" spans="3:46" ht="15.75">
      <c r="C69" s="372"/>
      <c r="D69" s="372"/>
      <c r="E69" s="372"/>
      <c r="F69" s="372"/>
      <c r="G69" s="372"/>
      <c r="H69" s="372"/>
      <c r="I69" s="372"/>
      <c r="J69" s="372"/>
      <c r="K69" s="372"/>
      <c r="L69" s="372"/>
      <c r="M69" s="372"/>
      <c r="N69" s="372"/>
      <c r="O69" s="372"/>
      <c r="P69" s="371"/>
      <c r="Q69" s="371"/>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row>
    <row r="70" spans="3:46" ht="15.75">
      <c r="C70" s="372"/>
      <c r="D70" s="372"/>
      <c r="E70" s="372"/>
      <c r="F70" s="372"/>
      <c r="G70" s="372"/>
      <c r="H70" s="372"/>
      <c r="I70" s="372"/>
      <c r="J70" s="372"/>
      <c r="K70" s="372"/>
      <c r="L70" s="372"/>
      <c r="M70" s="372"/>
      <c r="N70" s="372"/>
      <c r="O70" s="372"/>
      <c r="P70" s="371"/>
      <c r="Q70" s="371"/>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row>
    <row r="71" spans="3:46" ht="15.75">
      <c r="C71" s="372"/>
      <c r="D71" s="372"/>
      <c r="E71" s="372"/>
      <c r="F71" s="372"/>
      <c r="G71" s="372"/>
      <c r="H71" s="372"/>
      <c r="I71" s="372"/>
      <c r="J71" s="372"/>
      <c r="K71" s="372"/>
      <c r="L71" s="372"/>
      <c r="M71" s="372"/>
      <c r="N71" s="372"/>
      <c r="O71" s="372"/>
      <c r="P71" s="371"/>
      <c r="Q71" s="371"/>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row>
    <row r="72" spans="3:46" ht="15.75">
      <c r="C72" s="372"/>
      <c r="D72" s="372"/>
      <c r="E72" s="372"/>
      <c r="F72" s="372"/>
      <c r="G72" s="372"/>
      <c r="H72" s="372"/>
      <c r="I72" s="372"/>
      <c r="J72" s="372"/>
      <c r="K72" s="372"/>
      <c r="L72" s="372"/>
      <c r="M72" s="372"/>
      <c r="N72" s="372"/>
      <c r="O72" s="372"/>
      <c r="P72" s="371"/>
      <c r="Q72" s="371"/>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row>
    <row r="73" spans="3:46" ht="15.75">
      <c r="C73" s="372"/>
      <c r="D73" s="372"/>
      <c r="E73" s="372"/>
      <c r="F73" s="372"/>
      <c r="G73" s="372"/>
      <c r="H73" s="372"/>
      <c r="I73" s="372"/>
      <c r="J73" s="372"/>
      <c r="K73" s="372"/>
      <c r="L73" s="372"/>
      <c r="M73" s="372"/>
      <c r="N73" s="372"/>
      <c r="O73" s="372"/>
      <c r="P73" s="371"/>
      <c r="Q73" s="371"/>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row>
    <row r="74" spans="3:46" ht="15.75">
      <c r="C74" s="372"/>
      <c r="D74" s="372"/>
      <c r="E74" s="372"/>
      <c r="F74" s="372"/>
      <c r="G74" s="372"/>
      <c r="H74" s="372"/>
      <c r="I74" s="372"/>
      <c r="J74" s="372"/>
      <c r="K74" s="372"/>
      <c r="L74" s="372"/>
      <c r="M74" s="372"/>
      <c r="N74" s="372"/>
      <c r="O74" s="372"/>
      <c r="P74" s="371"/>
      <c r="Q74" s="371"/>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row>
    <row r="75" spans="3:46" ht="15.75">
      <c r="C75" s="372"/>
      <c r="D75" s="372"/>
      <c r="E75" s="372"/>
      <c r="F75" s="372"/>
      <c r="G75" s="372"/>
      <c r="H75" s="372"/>
      <c r="I75" s="372"/>
      <c r="J75" s="372"/>
      <c r="K75" s="372"/>
      <c r="L75" s="372"/>
      <c r="M75" s="372"/>
      <c r="N75" s="372"/>
      <c r="O75" s="372"/>
      <c r="P75" s="371"/>
      <c r="Q75" s="371"/>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R75" s="372"/>
      <c r="AS75" s="372"/>
      <c r="AT75" s="372"/>
    </row>
    <row r="76" spans="3:46" ht="15.75">
      <c r="C76" s="372"/>
      <c r="D76" s="372"/>
      <c r="E76" s="372"/>
      <c r="F76" s="372"/>
      <c r="G76" s="372"/>
      <c r="H76" s="372"/>
      <c r="I76" s="372"/>
      <c r="J76" s="372"/>
      <c r="K76" s="372"/>
      <c r="L76" s="372"/>
      <c r="M76" s="372"/>
      <c r="N76" s="372"/>
      <c r="O76" s="372"/>
      <c r="P76" s="371"/>
      <c r="Q76" s="371"/>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row>
    <row r="77" spans="3:46" ht="15.75">
      <c r="C77" s="372"/>
      <c r="D77" s="372"/>
      <c r="E77" s="372"/>
      <c r="F77" s="372"/>
      <c r="G77" s="372"/>
      <c r="H77" s="372"/>
      <c r="I77" s="372"/>
      <c r="J77" s="372"/>
      <c r="K77" s="372"/>
      <c r="L77" s="372"/>
      <c r="M77" s="372"/>
      <c r="N77" s="372"/>
      <c r="O77" s="372"/>
      <c r="P77" s="371"/>
      <c r="Q77" s="371"/>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row>
    <row r="78" spans="3:46" ht="15.75">
      <c r="C78" s="372"/>
      <c r="D78" s="372"/>
      <c r="E78" s="372"/>
      <c r="F78" s="372"/>
      <c r="G78" s="372"/>
      <c r="H78" s="372"/>
      <c r="I78" s="372"/>
      <c r="J78" s="372"/>
      <c r="K78" s="372"/>
      <c r="L78" s="372"/>
      <c r="M78" s="372"/>
      <c r="N78" s="372"/>
      <c r="O78" s="372"/>
      <c r="P78" s="371"/>
      <c r="Q78" s="371"/>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row>
    <row r="79" spans="3:46" ht="15.75">
      <c r="C79" s="372"/>
      <c r="D79" s="372"/>
      <c r="E79" s="372"/>
      <c r="F79" s="372"/>
      <c r="G79" s="372"/>
      <c r="H79" s="372"/>
      <c r="I79" s="372"/>
      <c r="J79" s="372"/>
      <c r="K79" s="372"/>
      <c r="L79" s="372"/>
      <c r="M79" s="372"/>
      <c r="N79" s="372"/>
      <c r="O79" s="372"/>
      <c r="P79" s="371"/>
      <c r="Q79" s="371"/>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row>
    <row r="80" spans="3:46" ht="15.75">
      <c r="C80" s="372"/>
      <c r="D80" s="372"/>
      <c r="E80" s="372"/>
      <c r="F80" s="372"/>
      <c r="G80" s="372"/>
      <c r="H80" s="372"/>
      <c r="I80" s="372"/>
      <c r="J80" s="372"/>
      <c r="K80" s="372"/>
      <c r="L80" s="372"/>
      <c r="M80" s="372"/>
      <c r="N80" s="372"/>
      <c r="O80" s="372"/>
      <c r="P80" s="371"/>
      <c r="Q80" s="371"/>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row>
    <row r="81" spans="3:46" ht="15.75">
      <c r="C81" s="372"/>
      <c r="D81" s="372"/>
      <c r="E81" s="372"/>
      <c r="F81" s="372"/>
      <c r="G81" s="372"/>
      <c r="H81" s="372"/>
      <c r="I81" s="372"/>
      <c r="J81" s="372"/>
      <c r="K81" s="372"/>
      <c r="L81" s="372"/>
      <c r="M81" s="372"/>
      <c r="N81" s="372"/>
      <c r="O81" s="372"/>
      <c r="P81" s="371"/>
      <c r="Q81" s="371"/>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row>
    <row r="82" spans="3:46" ht="15.75">
      <c r="C82" s="372"/>
      <c r="D82" s="372"/>
      <c r="E82" s="372"/>
      <c r="F82" s="372"/>
      <c r="G82" s="372"/>
      <c r="H82" s="372"/>
      <c r="I82" s="372"/>
      <c r="J82" s="372"/>
      <c r="K82" s="372"/>
      <c r="L82" s="372"/>
      <c r="M82" s="372"/>
      <c r="N82" s="372"/>
      <c r="O82" s="372"/>
      <c r="P82" s="371"/>
      <c r="Q82" s="371"/>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row>
    <row r="83" spans="3:46" ht="15.75">
      <c r="C83" s="372"/>
      <c r="D83" s="372"/>
      <c r="E83" s="372"/>
      <c r="F83" s="372"/>
      <c r="G83" s="372"/>
      <c r="H83" s="372"/>
      <c r="I83" s="372"/>
      <c r="J83" s="372"/>
      <c r="K83" s="372"/>
      <c r="L83" s="372"/>
      <c r="M83" s="372"/>
      <c r="N83" s="372"/>
      <c r="O83" s="372"/>
      <c r="P83" s="371"/>
      <c r="Q83" s="371"/>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row>
    <row r="84" spans="3:46" ht="15.75">
      <c r="C84" s="372"/>
      <c r="D84" s="372"/>
      <c r="E84" s="372"/>
      <c r="F84" s="372"/>
      <c r="G84" s="372"/>
      <c r="H84" s="372"/>
      <c r="I84" s="372"/>
      <c r="J84" s="372"/>
      <c r="K84" s="372"/>
      <c r="L84" s="372"/>
      <c r="M84" s="372"/>
      <c r="N84" s="372"/>
      <c r="O84" s="372"/>
      <c r="P84" s="371"/>
      <c r="Q84" s="371"/>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row>
    <row r="85" spans="3:46" ht="15.75">
      <c r="C85" s="372"/>
      <c r="D85" s="372"/>
      <c r="E85" s="372"/>
      <c r="F85" s="372"/>
      <c r="G85" s="372"/>
      <c r="H85" s="372"/>
      <c r="I85" s="372"/>
      <c r="J85" s="372"/>
      <c r="K85" s="372"/>
      <c r="L85" s="372"/>
      <c r="M85" s="372"/>
      <c r="N85" s="372"/>
      <c r="O85" s="372"/>
      <c r="P85" s="371"/>
      <c r="Q85" s="371"/>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row>
    <row r="86" spans="3:46" ht="15.75">
      <c r="C86" s="372"/>
      <c r="D86" s="372"/>
      <c r="E86" s="372"/>
      <c r="F86" s="372"/>
      <c r="G86" s="372"/>
      <c r="H86" s="372"/>
      <c r="I86" s="372"/>
      <c r="J86" s="372"/>
      <c r="K86" s="372"/>
      <c r="L86" s="372"/>
      <c r="M86" s="372"/>
      <c r="N86" s="372"/>
      <c r="O86" s="372"/>
      <c r="P86" s="371"/>
      <c r="Q86" s="371"/>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row>
    <row r="87" spans="3:46" ht="15.75">
      <c r="C87" s="372"/>
      <c r="D87" s="372"/>
      <c r="E87" s="372"/>
      <c r="F87" s="372"/>
      <c r="G87" s="372"/>
      <c r="H87" s="372"/>
      <c r="I87" s="372"/>
      <c r="J87" s="372"/>
      <c r="K87" s="372"/>
      <c r="L87" s="372"/>
      <c r="M87" s="372"/>
      <c r="N87" s="372"/>
      <c r="O87" s="372"/>
      <c r="P87" s="371"/>
      <c r="Q87" s="371"/>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row>
    <row r="88" spans="3:46" ht="15.75">
      <c r="C88" s="372"/>
      <c r="D88" s="372"/>
      <c r="E88" s="372"/>
      <c r="F88" s="372"/>
      <c r="G88" s="372"/>
      <c r="H88" s="372"/>
      <c r="I88" s="372"/>
      <c r="J88" s="372"/>
      <c r="K88" s="372"/>
      <c r="L88" s="372"/>
      <c r="M88" s="372"/>
      <c r="N88" s="372"/>
      <c r="O88" s="372"/>
      <c r="P88" s="371"/>
      <c r="Q88" s="371"/>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row>
    <row r="89" spans="3:46" ht="15.75">
      <c r="C89" s="372"/>
      <c r="D89" s="372"/>
      <c r="E89" s="372"/>
      <c r="F89" s="372"/>
      <c r="G89" s="372"/>
      <c r="H89" s="372"/>
      <c r="I89" s="372"/>
      <c r="J89" s="372"/>
      <c r="K89" s="372"/>
      <c r="L89" s="372"/>
      <c r="M89" s="372"/>
      <c r="N89" s="372"/>
      <c r="O89" s="372"/>
      <c r="P89" s="371"/>
      <c r="Q89" s="371"/>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row>
    <row r="90" spans="3:46" ht="15.75">
      <c r="C90" s="372"/>
      <c r="D90" s="372"/>
      <c r="E90" s="372"/>
      <c r="F90" s="372"/>
      <c r="G90" s="372"/>
      <c r="H90" s="372"/>
      <c r="I90" s="372"/>
      <c r="J90" s="372"/>
      <c r="K90" s="372"/>
      <c r="L90" s="372"/>
      <c r="M90" s="372"/>
      <c r="N90" s="372"/>
      <c r="O90" s="372"/>
      <c r="P90" s="371"/>
      <c r="Q90" s="371"/>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row>
    <row r="91" spans="3:46" ht="15.75">
      <c r="C91" s="372"/>
      <c r="D91" s="372"/>
      <c r="E91" s="372"/>
      <c r="F91" s="372"/>
      <c r="G91" s="372"/>
      <c r="H91" s="372"/>
      <c r="I91" s="372"/>
      <c r="J91" s="372"/>
      <c r="K91" s="372"/>
      <c r="L91" s="372"/>
      <c r="M91" s="372"/>
      <c r="N91" s="372"/>
      <c r="O91" s="372"/>
      <c r="P91" s="371"/>
      <c r="Q91" s="371"/>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row>
    <row r="92" spans="3:46" ht="15.75">
      <c r="C92" s="372"/>
      <c r="D92" s="372"/>
      <c r="E92" s="372"/>
      <c r="F92" s="372"/>
      <c r="G92" s="372"/>
      <c r="H92" s="372"/>
      <c r="I92" s="372"/>
      <c r="J92" s="372"/>
      <c r="K92" s="372"/>
      <c r="L92" s="372"/>
      <c r="M92" s="372"/>
      <c r="N92" s="372"/>
      <c r="O92" s="372"/>
      <c r="P92" s="371"/>
      <c r="Q92" s="371"/>
      <c r="R92" s="372"/>
      <c r="S92" s="372"/>
      <c r="T92" s="372"/>
      <c r="U92" s="372"/>
      <c r="V92" s="372"/>
      <c r="W92" s="372"/>
      <c r="X92" s="372"/>
      <c r="Y92" s="372"/>
      <c r="Z92" s="372"/>
      <c r="AA92" s="372"/>
      <c r="AB92" s="372"/>
      <c r="AC92" s="372"/>
      <c r="AD92" s="372"/>
      <c r="AE92" s="372"/>
      <c r="AF92" s="372"/>
      <c r="AG92" s="372"/>
      <c r="AH92" s="372"/>
      <c r="AI92" s="372"/>
      <c r="AJ92" s="372"/>
      <c r="AK92" s="372"/>
      <c r="AL92" s="372"/>
      <c r="AM92" s="372"/>
      <c r="AN92" s="372"/>
      <c r="AO92" s="372"/>
      <c r="AP92" s="372"/>
      <c r="AQ92" s="372"/>
      <c r="AR92" s="372"/>
      <c r="AS92" s="372"/>
      <c r="AT92" s="372"/>
    </row>
    <row r="93" spans="3:46" ht="15.75">
      <c r="C93" s="372"/>
      <c r="D93" s="372"/>
      <c r="E93" s="372"/>
      <c r="F93" s="372"/>
      <c r="G93" s="372"/>
      <c r="H93" s="372"/>
      <c r="I93" s="372"/>
      <c r="J93" s="372"/>
      <c r="K93" s="372"/>
      <c r="L93" s="372"/>
      <c r="M93" s="372"/>
      <c r="N93" s="372"/>
      <c r="O93" s="372"/>
      <c r="P93" s="371"/>
      <c r="Q93" s="371"/>
      <c r="R93" s="372"/>
      <c r="S93" s="372"/>
      <c r="T93" s="372"/>
      <c r="U93" s="372"/>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row>
    <row r="94" spans="3:46" ht="15.75">
      <c r="C94" s="372"/>
      <c r="D94" s="372"/>
      <c r="E94" s="372"/>
      <c r="F94" s="372"/>
      <c r="G94" s="372"/>
      <c r="H94" s="372"/>
      <c r="I94" s="372"/>
      <c r="J94" s="372"/>
      <c r="K94" s="372"/>
      <c r="L94" s="372"/>
      <c r="M94" s="372"/>
      <c r="N94" s="372"/>
      <c r="O94" s="372"/>
      <c r="P94" s="371"/>
      <c r="Q94" s="371"/>
      <c r="R94" s="372"/>
      <c r="S94" s="372"/>
      <c r="T94" s="372"/>
      <c r="U94" s="372"/>
      <c r="V94" s="372"/>
      <c r="W94" s="372"/>
      <c r="X94" s="372"/>
      <c r="Y94" s="372"/>
      <c r="Z94" s="372"/>
      <c r="AA94" s="372"/>
      <c r="AB94" s="372"/>
      <c r="AC94" s="372"/>
      <c r="AD94" s="372"/>
      <c r="AE94" s="372"/>
      <c r="AF94" s="372"/>
      <c r="AG94" s="372"/>
      <c r="AH94" s="372"/>
      <c r="AI94" s="372"/>
      <c r="AJ94" s="372"/>
      <c r="AK94" s="372"/>
      <c r="AL94" s="372"/>
      <c r="AM94" s="372"/>
      <c r="AN94" s="372"/>
      <c r="AO94" s="372"/>
      <c r="AP94" s="372"/>
      <c r="AQ94" s="372"/>
      <c r="AR94" s="372"/>
      <c r="AS94" s="372"/>
      <c r="AT94" s="372"/>
    </row>
    <row r="95" spans="3:46" ht="15.75">
      <c r="C95" s="372"/>
      <c r="D95" s="372"/>
      <c r="E95" s="372"/>
      <c r="F95" s="372"/>
      <c r="G95" s="372"/>
      <c r="H95" s="372"/>
      <c r="I95" s="372"/>
      <c r="J95" s="372"/>
      <c r="K95" s="372"/>
      <c r="L95" s="372"/>
      <c r="M95" s="372"/>
      <c r="N95" s="372"/>
      <c r="O95" s="372"/>
      <c r="P95" s="371"/>
      <c r="Q95" s="371"/>
      <c r="R95" s="372"/>
      <c r="S95" s="372"/>
      <c r="T95" s="372"/>
      <c r="U95" s="372"/>
      <c r="V95" s="372"/>
      <c r="W95" s="372"/>
      <c r="X95" s="372"/>
      <c r="Y95" s="372"/>
      <c r="Z95" s="372"/>
      <c r="AA95" s="372"/>
      <c r="AB95" s="372"/>
      <c r="AC95" s="372"/>
      <c r="AD95" s="372"/>
      <c r="AE95" s="372"/>
      <c r="AF95" s="372"/>
      <c r="AG95" s="372"/>
      <c r="AH95" s="372"/>
      <c r="AI95" s="372"/>
      <c r="AJ95" s="372"/>
      <c r="AK95" s="372"/>
      <c r="AL95" s="372"/>
      <c r="AM95" s="372"/>
      <c r="AN95" s="372"/>
      <c r="AO95" s="372"/>
      <c r="AP95" s="372"/>
      <c r="AQ95" s="372"/>
      <c r="AR95" s="372"/>
      <c r="AS95" s="372"/>
      <c r="AT95" s="372"/>
    </row>
    <row r="96" spans="3:46" ht="15.75">
      <c r="C96" s="372"/>
      <c r="D96" s="372"/>
      <c r="E96" s="372"/>
      <c r="F96" s="372"/>
      <c r="G96" s="372"/>
      <c r="H96" s="372"/>
      <c r="I96" s="372"/>
      <c r="J96" s="372"/>
      <c r="K96" s="372"/>
      <c r="L96" s="372"/>
      <c r="M96" s="372"/>
      <c r="N96" s="372"/>
      <c r="O96" s="372"/>
      <c r="P96" s="371"/>
      <c r="Q96" s="371"/>
      <c r="R96" s="372"/>
      <c r="S96" s="372"/>
      <c r="T96" s="372"/>
      <c r="U96" s="372"/>
      <c r="V96" s="372"/>
      <c r="W96" s="372"/>
      <c r="X96" s="372"/>
      <c r="Y96" s="372"/>
      <c r="Z96" s="372"/>
      <c r="AA96" s="372"/>
      <c r="AB96" s="372"/>
      <c r="AC96" s="372"/>
      <c r="AD96" s="372"/>
      <c r="AE96" s="372"/>
      <c r="AF96" s="372"/>
      <c r="AG96" s="372"/>
      <c r="AH96" s="372"/>
      <c r="AI96" s="372"/>
      <c r="AJ96" s="372"/>
      <c r="AK96" s="372"/>
      <c r="AL96" s="372"/>
      <c r="AM96" s="372"/>
      <c r="AN96" s="372"/>
      <c r="AO96" s="372"/>
      <c r="AP96" s="372"/>
      <c r="AQ96" s="372"/>
      <c r="AR96" s="372"/>
      <c r="AS96" s="372"/>
      <c r="AT96" s="372"/>
    </row>
    <row r="97" spans="3:46" ht="15.75">
      <c r="C97" s="372"/>
      <c r="D97" s="372"/>
      <c r="E97" s="372"/>
      <c r="F97" s="372"/>
      <c r="G97" s="372"/>
      <c r="H97" s="372"/>
      <c r="I97" s="372"/>
      <c r="J97" s="372"/>
      <c r="K97" s="372"/>
      <c r="L97" s="372"/>
      <c r="M97" s="372"/>
      <c r="N97" s="372"/>
      <c r="O97" s="372"/>
      <c r="P97" s="371"/>
      <c r="Q97" s="371"/>
      <c r="R97" s="372"/>
      <c r="S97" s="372"/>
      <c r="T97" s="372"/>
      <c r="U97" s="372"/>
      <c r="V97" s="372"/>
      <c r="W97" s="372"/>
      <c r="X97" s="372"/>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row>
    <row r="98" spans="3:46" ht="15.75">
      <c r="C98" s="372"/>
      <c r="D98" s="372"/>
      <c r="E98" s="372"/>
      <c r="F98" s="372"/>
      <c r="G98" s="372"/>
      <c r="H98" s="372"/>
      <c r="I98" s="372"/>
      <c r="J98" s="372"/>
      <c r="K98" s="372"/>
      <c r="L98" s="372"/>
      <c r="M98" s="372"/>
      <c r="N98" s="372"/>
      <c r="O98" s="372"/>
      <c r="P98" s="371"/>
      <c r="Q98" s="371"/>
      <c r="R98" s="372"/>
      <c r="S98" s="372"/>
      <c r="T98" s="372"/>
      <c r="U98" s="372"/>
      <c r="V98" s="372"/>
      <c r="W98" s="372"/>
      <c r="X98" s="372"/>
      <c r="Y98" s="372"/>
      <c r="Z98" s="372"/>
      <c r="AA98" s="372"/>
      <c r="AB98" s="372"/>
      <c r="AC98" s="372"/>
      <c r="AD98" s="372"/>
      <c r="AE98" s="372"/>
      <c r="AF98" s="372"/>
      <c r="AG98" s="372"/>
      <c r="AH98" s="372"/>
      <c r="AI98" s="372"/>
      <c r="AJ98" s="372"/>
      <c r="AK98" s="372"/>
      <c r="AL98" s="372"/>
      <c r="AM98" s="372"/>
      <c r="AN98" s="372"/>
      <c r="AO98" s="372"/>
      <c r="AP98" s="372"/>
      <c r="AQ98" s="372"/>
      <c r="AR98" s="372"/>
      <c r="AS98" s="372"/>
      <c r="AT98" s="372"/>
    </row>
    <row r="99" spans="3:46" ht="15.75">
      <c r="C99" s="372"/>
      <c r="D99" s="372"/>
      <c r="E99" s="372"/>
      <c r="F99" s="372"/>
      <c r="G99" s="372"/>
      <c r="H99" s="372"/>
      <c r="I99" s="372"/>
      <c r="J99" s="372"/>
      <c r="K99" s="372"/>
      <c r="L99" s="372"/>
      <c r="M99" s="372"/>
      <c r="N99" s="372"/>
      <c r="O99" s="372"/>
      <c r="P99" s="371"/>
      <c r="Q99" s="371"/>
      <c r="R99" s="372"/>
      <c r="S99" s="372"/>
      <c r="T99" s="372"/>
      <c r="U99" s="372"/>
      <c r="V99" s="372"/>
      <c r="W99" s="372"/>
      <c r="X99" s="372"/>
      <c r="Y99" s="372"/>
      <c r="Z99" s="372"/>
      <c r="AA99" s="372"/>
      <c r="AB99" s="372"/>
      <c r="AC99" s="372"/>
      <c r="AD99" s="372"/>
      <c r="AE99" s="372"/>
      <c r="AF99" s="372"/>
      <c r="AG99" s="372"/>
      <c r="AH99" s="372"/>
      <c r="AI99" s="372"/>
      <c r="AJ99" s="372"/>
      <c r="AK99" s="372"/>
      <c r="AL99" s="372"/>
      <c r="AM99" s="372"/>
      <c r="AN99" s="372"/>
      <c r="AO99" s="372"/>
      <c r="AP99" s="372"/>
      <c r="AQ99" s="372"/>
      <c r="AR99" s="372"/>
      <c r="AS99" s="372"/>
      <c r="AT99" s="372"/>
    </row>
    <row r="100" spans="3:46" ht="15.75">
      <c r="C100" s="372"/>
      <c r="D100" s="372"/>
      <c r="E100" s="372"/>
      <c r="F100" s="372"/>
      <c r="G100" s="372"/>
      <c r="H100" s="372"/>
      <c r="I100" s="372"/>
      <c r="J100" s="372"/>
      <c r="K100" s="372"/>
      <c r="L100" s="372"/>
      <c r="M100" s="372"/>
      <c r="N100" s="372"/>
      <c r="O100" s="372"/>
      <c r="P100" s="371"/>
      <c r="Q100" s="371"/>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row>
    <row r="101" spans="3:46" ht="15.75">
      <c r="C101" s="372"/>
      <c r="D101" s="372"/>
      <c r="E101" s="372"/>
      <c r="F101" s="372"/>
      <c r="G101" s="372"/>
      <c r="H101" s="372"/>
      <c r="I101" s="372"/>
      <c r="J101" s="372"/>
      <c r="K101" s="372"/>
      <c r="L101" s="372"/>
      <c r="M101" s="372"/>
      <c r="N101" s="372"/>
      <c r="O101" s="372"/>
      <c r="P101" s="371"/>
      <c r="Q101" s="371"/>
      <c r="R101" s="372"/>
      <c r="S101" s="372"/>
      <c r="T101" s="372"/>
      <c r="U101" s="372"/>
      <c r="V101" s="372"/>
      <c r="W101" s="372"/>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row>
    <row r="102" spans="3:46" ht="15.75">
      <c r="C102" s="372"/>
      <c r="D102" s="372"/>
      <c r="E102" s="372"/>
      <c r="F102" s="372"/>
      <c r="G102" s="372"/>
      <c r="H102" s="372"/>
      <c r="I102" s="372"/>
      <c r="J102" s="372"/>
      <c r="K102" s="372"/>
      <c r="L102" s="372"/>
      <c r="M102" s="372"/>
      <c r="N102" s="372"/>
      <c r="O102" s="372"/>
      <c r="P102" s="371"/>
      <c r="Q102" s="371"/>
      <c r="R102" s="372"/>
      <c r="S102" s="372"/>
      <c r="T102" s="372"/>
      <c r="U102" s="372"/>
      <c r="V102" s="372"/>
      <c r="W102" s="372"/>
      <c r="X102" s="372"/>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row>
    <row r="103" spans="3:46" ht="15.75">
      <c r="C103" s="372"/>
      <c r="D103" s="372"/>
      <c r="E103" s="372"/>
      <c r="F103" s="372"/>
      <c r="G103" s="372"/>
      <c r="H103" s="372"/>
      <c r="I103" s="372"/>
      <c r="J103" s="372"/>
      <c r="K103" s="372"/>
      <c r="L103" s="372"/>
      <c r="M103" s="372"/>
      <c r="N103" s="372"/>
      <c r="O103" s="372"/>
      <c r="P103" s="371"/>
      <c r="Q103" s="371"/>
      <c r="R103" s="372"/>
      <c r="S103" s="372"/>
      <c r="T103" s="372"/>
      <c r="U103" s="372"/>
      <c r="V103" s="372"/>
      <c r="W103" s="372"/>
      <c r="X103" s="372"/>
      <c r="Y103" s="372"/>
      <c r="Z103" s="372"/>
      <c r="AA103" s="372"/>
      <c r="AB103" s="372"/>
      <c r="AC103" s="372"/>
      <c r="AD103" s="372"/>
      <c r="AE103" s="372"/>
      <c r="AF103" s="372"/>
      <c r="AG103" s="372"/>
      <c r="AH103" s="372"/>
      <c r="AI103" s="372"/>
      <c r="AJ103" s="372"/>
      <c r="AK103" s="372"/>
      <c r="AL103" s="372"/>
      <c r="AM103" s="372"/>
      <c r="AN103" s="372"/>
      <c r="AO103" s="372"/>
      <c r="AP103" s="372"/>
      <c r="AQ103" s="372"/>
      <c r="AR103" s="372"/>
      <c r="AS103" s="372"/>
      <c r="AT103" s="372"/>
    </row>
    <row r="104" spans="3:46" ht="15.75">
      <c r="C104" s="372"/>
      <c r="D104" s="372"/>
      <c r="E104" s="372"/>
      <c r="F104" s="372"/>
      <c r="G104" s="372"/>
      <c r="H104" s="372"/>
      <c r="I104" s="372"/>
      <c r="J104" s="372"/>
      <c r="K104" s="372"/>
      <c r="L104" s="372"/>
      <c r="M104" s="372"/>
      <c r="N104" s="372"/>
      <c r="O104" s="372"/>
      <c r="P104" s="371"/>
      <c r="Q104" s="371"/>
      <c r="R104" s="372"/>
      <c r="S104" s="372"/>
      <c r="T104" s="372"/>
      <c r="U104" s="372"/>
      <c r="V104" s="372"/>
      <c r="W104" s="372"/>
      <c r="X104" s="372"/>
      <c r="Y104" s="372"/>
      <c r="Z104" s="372"/>
      <c r="AA104" s="372"/>
      <c r="AB104" s="372"/>
      <c r="AC104" s="372"/>
      <c r="AD104" s="372"/>
      <c r="AE104" s="372"/>
      <c r="AF104" s="372"/>
      <c r="AG104" s="372"/>
      <c r="AH104" s="372"/>
      <c r="AI104" s="372"/>
      <c r="AJ104" s="372"/>
      <c r="AK104" s="372"/>
      <c r="AL104" s="372"/>
      <c r="AM104" s="372"/>
      <c r="AN104" s="372"/>
      <c r="AO104" s="372"/>
      <c r="AP104" s="372"/>
      <c r="AQ104" s="372"/>
      <c r="AR104" s="372"/>
      <c r="AS104" s="372"/>
      <c r="AT104" s="372"/>
    </row>
    <row r="105" spans="3:46" ht="15.75">
      <c r="C105" s="372"/>
      <c r="D105" s="372"/>
      <c r="E105" s="372"/>
      <c r="F105" s="372"/>
      <c r="G105" s="372"/>
      <c r="H105" s="372"/>
      <c r="I105" s="372"/>
      <c r="J105" s="372"/>
      <c r="K105" s="372"/>
      <c r="L105" s="372"/>
      <c r="M105" s="372"/>
      <c r="N105" s="372"/>
      <c r="O105" s="372"/>
      <c r="P105" s="371"/>
      <c r="Q105" s="371"/>
      <c r="R105" s="372"/>
      <c r="S105" s="372"/>
      <c r="T105" s="372"/>
      <c r="U105" s="372"/>
      <c r="V105" s="372"/>
      <c r="W105" s="372"/>
      <c r="X105" s="372"/>
      <c r="Y105" s="372"/>
      <c r="Z105" s="372"/>
      <c r="AA105" s="372"/>
      <c r="AB105" s="372"/>
      <c r="AC105" s="372"/>
      <c r="AD105" s="372"/>
      <c r="AE105" s="372"/>
      <c r="AF105" s="372"/>
      <c r="AG105" s="372"/>
      <c r="AH105" s="372"/>
      <c r="AI105" s="372"/>
      <c r="AJ105" s="372"/>
      <c r="AK105" s="372"/>
      <c r="AL105" s="372"/>
      <c r="AM105" s="372"/>
      <c r="AN105" s="372"/>
      <c r="AO105" s="372"/>
      <c r="AP105" s="372"/>
      <c r="AQ105" s="372"/>
      <c r="AR105" s="372"/>
      <c r="AS105" s="372"/>
      <c r="AT105" s="372"/>
    </row>
    <row r="106" spans="3:46" ht="15.75">
      <c r="C106" s="372"/>
      <c r="D106" s="372"/>
      <c r="E106" s="372"/>
      <c r="F106" s="372"/>
      <c r="G106" s="372"/>
      <c r="H106" s="372"/>
      <c r="I106" s="372"/>
      <c r="J106" s="372"/>
      <c r="K106" s="372"/>
      <c r="L106" s="372"/>
      <c r="M106" s="372"/>
      <c r="N106" s="372"/>
      <c r="O106" s="372"/>
      <c r="P106" s="371"/>
      <c r="Q106" s="371"/>
      <c r="R106" s="372"/>
      <c r="S106" s="372"/>
      <c r="T106" s="372"/>
      <c r="U106" s="372"/>
      <c r="V106" s="372"/>
      <c r="W106" s="372"/>
      <c r="X106" s="372"/>
      <c r="Y106" s="372"/>
      <c r="Z106" s="372"/>
      <c r="AA106" s="372"/>
      <c r="AB106" s="372"/>
      <c r="AC106" s="372"/>
      <c r="AD106" s="372"/>
      <c r="AE106" s="372"/>
      <c r="AF106" s="372"/>
      <c r="AG106" s="372"/>
      <c r="AH106" s="372"/>
      <c r="AI106" s="372"/>
      <c r="AJ106" s="372"/>
      <c r="AK106" s="372"/>
      <c r="AL106" s="372"/>
      <c r="AM106" s="372"/>
      <c r="AN106" s="372"/>
      <c r="AO106" s="372"/>
      <c r="AP106" s="372"/>
      <c r="AQ106" s="372"/>
      <c r="AR106" s="372"/>
      <c r="AS106" s="372"/>
      <c r="AT106" s="372"/>
    </row>
    <row r="107" spans="3:46" ht="15.75">
      <c r="C107" s="372"/>
      <c r="D107" s="372"/>
      <c r="E107" s="372"/>
      <c r="F107" s="372"/>
      <c r="G107" s="372"/>
      <c r="H107" s="372"/>
      <c r="I107" s="372"/>
      <c r="J107" s="372"/>
      <c r="K107" s="372"/>
      <c r="L107" s="372"/>
      <c r="M107" s="372"/>
      <c r="N107" s="372"/>
      <c r="O107" s="372"/>
      <c r="P107" s="371"/>
      <c r="Q107" s="371"/>
      <c r="R107" s="372"/>
      <c r="S107" s="372"/>
      <c r="T107" s="372"/>
      <c r="U107" s="372"/>
      <c r="V107" s="372"/>
      <c r="W107" s="372"/>
      <c r="X107" s="372"/>
      <c r="Y107" s="372"/>
      <c r="Z107" s="372"/>
      <c r="AA107" s="372"/>
      <c r="AB107" s="372"/>
      <c r="AC107" s="372"/>
      <c r="AD107" s="372"/>
      <c r="AE107" s="372"/>
      <c r="AF107" s="372"/>
      <c r="AG107" s="372"/>
      <c r="AH107" s="372"/>
      <c r="AI107" s="372"/>
      <c r="AJ107" s="372"/>
      <c r="AK107" s="372"/>
      <c r="AL107" s="372"/>
      <c r="AM107" s="372"/>
      <c r="AN107" s="372"/>
      <c r="AO107" s="372"/>
      <c r="AP107" s="372"/>
      <c r="AQ107" s="372"/>
      <c r="AR107" s="372"/>
      <c r="AS107" s="372"/>
      <c r="AT107" s="372"/>
    </row>
    <row r="108" spans="3:46" ht="15.75">
      <c r="C108" s="372"/>
      <c r="D108" s="372"/>
      <c r="E108" s="372"/>
      <c r="F108" s="372"/>
      <c r="G108" s="372"/>
      <c r="H108" s="372"/>
      <c r="I108" s="372"/>
      <c r="J108" s="372"/>
      <c r="K108" s="372"/>
      <c r="L108" s="372"/>
      <c r="M108" s="372"/>
      <c r="N108" s="372"/>
      <c r="O108" s="372"/>
      <c r="P108" s="371"/>
      <c r="Q108" s="371"/>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row>
    <row r="109" spans="3:46" ht="15.75">
      <c r="C109" s="372"/>
      <c r="D109" s="372"/>
      <c r="E109" s="372"/>
      <c r="F109" s="372"/>
      <c r="G109" s="372"/>
      <c r="H109" s="372"/>
      <c r="I109" s="372"/>
      <c r="J109" s="372"/>
      <c r="K109" s="372"/>
      <c r="L109" s="372"/>
      <c r="M109" s="372"/>
      <c r="N109" s="372"/>
      <c r="O109" s="372"/>
      <c r="P109" s="371"/>
      <c r="Q109" s="371"/>
      <c r="R109" s="372"/>
      <c r="S109" s="372"/>
      <c r="T109" s="372"/>
      <c r="U109" s="372"/>
      <c r="V109" s="372"/>
      <c r="W109" s="372"/>
      <c r="X109" s="372"/>
      <c r="Y109" s="372"/>
      <c r="Z109" s="372"/>
      <c r="AA109" s="372"/>
      <c r="AB109" s="372"/>
      <c r="AC109" s="372"/>
      <c r="AD109" s="372"/>
      <c r="AE109" s="372"/>
      <c r="AF109" s="372"/>
      <c r="AG109" s="372"/>
      <c r="AH109" s="372"/>
      <c r="AI109" s="372"/>
      <c r="AJ109" s="372"/>
      <c r="AK109" s="372"/>
      <c r="AL109" s="372"/>
      <c r="AM109" s="372"/>
      <c r="AN109" s="372"/>
      <c r="AO109" s="372"/>
      <c r="AP109" s="372"/>
      <c r="AQ109" s="372"/>
      <c r="AR109" s="372"/>
      <c r="AS109" s="372"/>
      <c r="AT109" s="372"/>
    </row>
    <row r="110" spans="3:46" ht="15.75">
      <c r="C110" s="372"/>
      <c r="D110" s="372"/>
      <c r="E110" s="372"/>
      <c r="F110" s="372"/>
      <c r="G110" s="372"/>
      <c r="H110" s="372"/>
      <c r="I110" s="372"/>
      <c r="J110" s="372"/>
      <c r="K110" s="372"/>
      <c r="L110" s="372"/>
      <c r="M110" s="372"/>
      <c r="N110" s="372"/>
      <c r="O110" s="372"/>
      <c r="P110" s="371"/>
      <c r="Q110" s="371"/>
      <c r="R110" s="372"/>
      <c r="S110" s="372"/>
      <c r="T110" s="372"/>
      <c r="U110" s="372"/>
      <c r="V110" s="372"/>
      <c r="W110" s="372"/>
      <c r="X110" s="372"/>
      <c r="Y110" s="372"/>
      <c r="Z110" s="372"/>
      <c r="AA110" s="372"/>
      <c r="AB110" s="372"/>
      <c r="AC110" s="372"/>
      <c r="AD110" s="372"/>
      <c r="AE110" s="372"/>
      <c r="AF110" s="372"/>
      <c r="AG110" s="372"/>
      <c r="AH110" s="372"/>
      <c r="AI110" s="372"/>
      <c r="AJ110" s="372"/>
      <c r="AK110" s="372"/>
      <c r="AL110" s="372"/>
      <c r="AM110" s="372"/>
      <c r="AN110" s="372"/>
      <c r="AO110" s="372"/>
      <c r="AP110" s="372"/>
      <c r="AQ110" s="372"/>
      <c r="AR110" s="372"/>
      <c r="AS110" s="372"/>
      <c r="AT110" s="372"/>
    </row>
    <row r="111" spans="3:46" ht="15.75">
      <c r="C111" s="372"/>
      <c r="D111" s="372"/>
      <c r="E111" s="372"/>
      <c r="F111" s="372"/>
      <c r="G111" s="372"/>
      <c r="H111" s="372"/>
      <c r="I111" s="372"/>
      <c r="J111" s="372"/>
      <c r="K111" s="372"/>
      <c r="L111" s="372"/>
      <c r="M111" s="372"/>
      <c r="N111" s="372"/>
      <c r="O111" s="372"/>
      <c r="P111" s="371"/>
      <c r="Q111" s="371"/>
      <c r="R111" s="372"/>
      <c r="S111" s="372"/>
      <c r="T111" s="372"/>
      <c r="U111" s="372"/>
      <c r="V111" s="372"/>
      <c r="W111" s="372"/>
      <c r="X111" s="372"/>
      <c r="Y111" s="372"/>
      <c r="Z111" s="372"/>
      <c r="AA111" s="372"/>
      <c r="AB111" s="372"/>
      <c r="AC111" s="372"/>
      <c r="AD111" s="372"/>
      <c r="AE111" s="372"/>
      <c r="AF111" s="372"/>
      <c r="AG111" s="372"/>
      <c r="AH111" s="372"/>
      <c r="AI111" s="372"/>
      <c r="AJ111" s="372"/>
      <c r="AK111" s="372"/>
      <c r="AL111" s="372"/>
      <c r="AM111" s="372"/>
      <c r="AN111" s="372"/>
      <c r="AO111" s="372"/>
      <c r="AP111" s="372"/>
      <c r="AQ111" s="372"/>
      <c r="AR111" s="372"/>
      <c r="AS111" s="372"/>
      <c r="AT111" s="372"/>
    </row>
    <row r="112" spans="3:46" ht="15.75">
      <c r="C112" s="372"/>
      <c r="D112" s="372"/>
      <c r="E112" s="372"/>
      <c r="F112" s="372"/>
      <c r="G112" s="372"/>
      <c r="H112" s="372"/>
      <c r="I112" s="372"/>
      <c r="J112" s="372"/>
      <c r="K112" s="372"/>
      <c r="L112" s="372"/>
      <c r="M112" s="372"/>
      <c r="N112" s="372"/>
      <c r="O112" s="372"/>
      <c r="P112" s="371"/>
      <c r="Q112" s="371"/>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row>
    <row r="113" spans="3:46" ht="15.75">
      <c r="C113" s="372"/>
      <c r="D113" s="372"/>
      <c r="E113" s="372"/>
      <c r="F113" s="372"/>
      <c r="G113" s="372"/>
      <c r="H113" s="372"/>
      <c r="I113" s="372"/>
      <c r="J113" s="372"/>
      <c r="K113" s="372"/>
      <c r="L113" s="372"/>
      <c r="M113" s="372"/>
      <c r="N113" s="372"/>
      <c r="O113" s="372"/>
      <c r="P113" s="371"/>
      <c r="Q113" s="371"/>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72"/>
      <c r="AP113" s="372"/>
      <c r="AQ113" s="372"/>
      <c r="AR113" s="372"/>
      <c r="AS113" s="372"/>
      <c r="AT113" s="372"/>
    </row>
    <row r="114" spans="3:46" ht="15.75">
      <c r="C114" s="372"/>
      <c r="D114" s="372"/>
      <c r="E114" s="372"/>
      <c r="F114" s="372"/>
      <c r="G114" s="372"/>
      <c r="H114" s="372"/>
      <c r="I114" s="372"/>
      <c r="J114" s="372"/>
      <c r="K114" s="372"/>
      <c r="L114" s="372"/>
      <c r="M114" s="372"/>
      <c r="N114" s="372"/>
      <c r="O114" s="372"/>
      <c r="P114" s="371"/>
      <c r="Q114" s="371"/>
      <c r="R114" s="372"/>
      <c r="S114" s="372"/>
      <c r="T114" s="372"/>
      <c r="U114" s="372"/>
      <c r="V114" s="372"/>
      <c r="W114" s="372"/>
      <c r="X114" s="372"/>
      <c r="Y114" s="372"/>
      <c r="Z114" s="372"/>
      <c r="AA114" s="372"/>
      <c r="AB114" s="372"/>
      <c r="AC114" s="372"/>
      <c r="AD114" s="372"/>
      <c r="AE114" s="372"/>
      <c r="AF114" s="372"/>
      <c r="AG114" s="372"/>
      <c r="AH114" s="372"/>
      <c r="AI114" s="372"/>
      <c r="AJ114" s="372"/>
      <c r="AK114" s="372"/>
      <c r="AL114" s="372"/>
      <c r="AM114" s="372"/>
      <c r="AN114" s="372"/>
      <c r="AO114" s="372"/>
      <c r="AP114" s="372"/>
      <c r="AQ114" s="372"/>
      <c r="AR114" s="372"/>
      <c r="AS114" s="372"/>
      <c r="AT114" s="372"/>
    </row>
    <row r="115" spans="3:46" ht="15.75">
      <c r="C115" s="372"/>
      <c r="D115" s="372"/>
      <c r="E115" s="372"/>
      <c r="F115" s="372"/>
      <c r="G115" s="372"/>
      <c r="H115" s="372"/>
      <c r="I115" s="372"/>
      <c r="J115" s="372"/>
      <c r="K115" s="372"/>
      <c r="L115" s="372"/>
      <c r="M115" s="372"/>
      <c r="N115" s="372"/>
      <c r="O115" s="372"/>
      <c r="P115" s="371"/>
      <c r="Q115" s="371"/>
      <c r="R115" s="372"/>
      <c r="S115" s="372"/>
      <c r="T115" s="372"/>
      <c r="U115" s="372"/>
      <c r="V115" s="372"/>
      <c r="W115" s="372"/>
      <c r="X115" s="372"/>
      <c r="Y115" s="372"/>
      <c r="Z115" s="372"/>
      <c r="AA115" s="372"/>
      <c r="AB115" s="372"/>
      <c r="AC115" s="372"/>
      <c r="AD115" s="372"/>
      <c r="AE115" s="372"/>
      <c r="AF115" s="372"/>
      <c r="AG115" s="372"/>
      <c r="AH115" s="372"/>
      <c r="AI115" s="372"/>
      <c r="AJ115" s="372"/>
      <c r="AK115" s="372"/>
      <c r="AL115" s="372"/>
      <c r="AM115" s="372"/>
      <c r="AN115" s="372"/>
      <c r="AO115" s="372"/>
      <c r="AP115" s="372"/>
      <c r="AQ115" s="372"/>
      <c r="AR115" s="372"/>
      <c r="AS115" s="372"/>
      <c r="AT115" s="372"/>
    </row>
    <row r="116" spans="3:46" ht="15.75">
      <c r="C116" s="372"/>
      <c r="D116" s="372"/>
      <c r="E116" s="372"/>
      <c r="F116" s="372"/>
      <c r="G116" s="372"/>
      <c r="H116" s="372"/>
      <c r="I116" s="372"/>
      <c r="J116" s="372"/>
      <c r="K116" s="372"/>
      <c r="L116" s="372"/>
      <c r="M116" s="372"/>
      <c r="N116" s="372"/>
      <c r="O116" s="372"/>
      <c r="P116" s="371"/>
      <c r="Q116" s="371"/>
      <c r="R116" s="372"/>
      <c r="S116" s="372"/>
      <c r="T116" s="372"/>
      <c r="U116" s="372"/>
      <c r="V116" s="372"/>
      <c r="W116" s="372"/>
      <c r="X116" s="372"/>
      <c r="Y116" s="372"/>
      <c r="Z116" s="372"/>
      <c r="AA116" s="372"/>
      <c r="AB116" s="372"/>
      <c r="AC116" s="372"/>
      <c r="AD116" s="372"/>
      <c r="AE116" s="372"/>
      <c r="AF116" s="372"/>
      <c r="AG116" s="372"/>
      <c r="AH116" s="372"/>
      <c r="AI116" s="372"/>
      <c r="AJ116" s="372"/>
      <c r="AK116" s="372"/>
      <c r="AL116" s="372"/>
      <c r="AM116" s="372"/>
      <c r="AN116" s="372"/>
      <c r="AO116" s="372"/>
      <c r="AP116" s="372"/>
      <c r="AQ116" s="372"/>
      <c r="AR116" s="372"/>
      <c r="AS116" s="372"/>
      <c r="AT116" s="372"/>
    </row>
    <row r="117" spans="1:46" ht="15.75">
      <c r="A117" s="317" t="s">
        <v>403</v>
      </c>
      <c r="C117" s="372"/>
      <c r="D117" s="372"/>
      <c r="E117" s="372"/>
      <c r="F117" s="372"/>
      <c r="G117" s="372"/>
      <c r="H117" s="372"/>
      <c r="I117" s="372"/>
      <c r="J117" s="372"/>
      <c r="K117" s="372"/>
      <c r="L117" s="372"/>
      <c r="M117" s="372"/>
      <c r="N117" s="372"/>
      <c r="O117" s="372"/>
      <c r="P117" s="371">
        <f aca="true" t="shared" si="18" ref="P117:P180">SUM(D117:O117)</f>
        <v>0</v>
      </c>
      <c r="Q117" s="371"/>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row>
    <row r="118" spans="1:46" ht="15.75">
      <c r="A118" t="s">
        <v>404</v>
      </c>
      <c r="C118" s="372"/>
      <c r="D118" s="372"/>
      <c r="E118" s="372"/>
      <c r="F118" s="372"/>
      <c r="G118" s="372"/>
      <c r="H118" s="372"/>
      <c r="I118" s="372"/>
      <c r="J118" s="372"/>
      <c r="K118" s="372"/>
      <c r="L118" s="372"/>
      <c r="M118" s="372"/>
      <c r="N118" s="372"/>
      <c r="O118" s="372"/>
      <c r="P118" s="371">
        <f t="shared" si="18"/>
        <v>0</v>
      </c>
      <c r="Q118" s="371"/>
      <c r="R118" s="372"/>
      <c r="S118" s="372"/>
      <c r="T118" s="372"/>
      <c r="U118" s="372"/>
      <c r="V118" s="372"/>
      <c r="W118" s="372"/>
      <c r="X118" s="372"/>
      <c r="Y118" s="372"/>
      <c r="Z118" s="372"/>
      <c r="AA118" s="372"/>
      <c r="AB118" s="372"/>
      <c r="AC118" s="372"/>
      <c r="AD118" s="372"/>
      <c r="AE118" s="372"/>
      <c r="AF118" s="372"/>
      <c r="AG118" s="372"/>
      <c r="AH118" s="372"/>
      <c r="AI118" s="372"/>
      <c r="AJ118" s="372"/>
      <c r="AK118" s="372"/>
      <c r="AL118" s="372"/>
      <c r="AM118" s="372"/>
      <c r="AN118" s="372"/>
      <c r="AO118" s="372"/>
      <c r="AP118" s="372"/>
      <c r="AQ118" s="372"/>
      <c r="AR118" s="372"/>
      <c r="AS118" s="372"/>
      <c r="AT118" s="372"/>
    </row>
    <row r="119" spans="3:46" ht="15.75">
      <c r="C119" s="372"/>
      <c r="D119" s="372"/>
      <c r="E119" s="372"/>
      <c r="F119" s="372"/>
      <c r="G119" s="372"/>
      <c r="H119" s="372"/>
      <c r="I119" s="372"/>
      <c r="J119" s="372"/>
      <c r="K119" s="372"/>
      <c r="L119" s="372"/>
      <c r="M119" s="372"/>
      <c r="N119" s="372"/>
      <c r="O119" s="372"/>
      <c r="P119" s="371">
        <f t="shared" si="18"/>
        <v>0</v>
      </c>
      <c r="Q119" s="371"/>
      <c r="R119" s="372"/>
      <c r="S119" s="372"/>
      <c r="T119" s="372"/>
      <c r="U119" s="372"/>
      <c r="V119" s="372"/>
      <c r="W119" s="372"/>
      <c r="X119" s="372"/>
      <c r="Y119" s="372"/>
      <c r="Z119" s="372"/>
      <c r="AA119" s="372"/>
      <c r="AB119" s="372"/>
      <c r="AC119" s="372"/>
      <c r="AD119" s="372"/>
      <c r="AE119" s="372"/>
      <c r="AF119" s="372"/>
      <c r="AG119" s="372"/>
      <c r="AH119" s="372"/>
      <c r="AI119" s="372"/>
      <c r="AJ119" s="372"/>
      <c r="AK119" s="372"/>
      <c r="AL119" s="372"/>
      <c r="AM119" s="372"/>
      <c r="AN119" s="372"/>
      <c r="AO119" s="372"/>
      <c r="AP119" s="372"/>
      <c r="AQ119" s="372"/>
      <c r="AR119" s="372"/>
      <c r="AS119" s="372"/>
      <c r="AT119" s="372"/>
    </row>
    <row r="120" spans="3:46" ht="15.75">
      <c r="C120" s="372"/>
      <c r="D120" s="372"/>
      <c r="E120" s="372"/>
      <c r="F120" s="372"/>
      <c r="G120" s="372"/>
      <c r="H120" s="372"/>
      <c r="I120" s="372"/>
      <c r="J120" s="372"/>
      <c r="K120" s="372"/>
      <c r="L120" s="372"/>
      <c r="M120" s="372"/>
      <c r="N120" s="372"/>
      <c r="O120" s="372"/>
      <c r="P120" s="371">
        <f t="shared" si="18"/>
        <v>0</v>
      </c>
      <c r="Q120" s="371"/>
      <c r="R120" s="372"/>
      <c r="S120" s="372"/>
      <c r="T120" s="372"/>
      <c r="U120" s="372"/>
      <c r="V120" s="372"/>
      <c r="W120" s="372"/>
      <c r="X120" s="372"/>
      <c r="Y120" s="372"/>
      <c r="Z120" s="372"/>
      <c r="AA120" s="372"/>
      <c r="AB120" s="372"/>
      <c r="AC120" s="372"/>
      <c r="AD120" s="372"/>
      <c r="AE120" s="372"/>
      <c r="AF120" s="372"/>
      <c r="AG120" s="372"/>
      <c r="AH120" s="372"/>
      <c r="AI120" s="372"/>
      <c r="AJ120" s="372"/>
      <c r="AK120" s="372"/>
      <c r="AL120" s="372"/>
      <c r="AM120" s="372"/>
      <c r="AN120" s="372"/>
      <c r="AO120" s="372"/>
      <c r="AP120" s="372"/>
      <c r="AQ120" s="372"/>
      <c r="AR120" s="372"/>
      <c r="AS120" s="372"/>
      <c r="AT120" s="372"/>
    </row>
    <row r="121" spans="3:46" ht="15.75">
      <c r="C121" s="372"/>
      <c r="D121" s="372"/>
      <c r="E121" s="372"/>
      <c r="F121" s="372"/>
      <c r="G121" s="372"/>
      <c r="H121" s="372"/>
      <c r="I121" s="372"/>
      <c r="J121" s="372"/>
      <c r="K121" s="372"/>
      <c r="L121" s="372"/>
      <c r="M121" s="372"/>
      <c r="N121" s="372"/>
      <c r="O121" s="372"/>
      <c r="P121" s="371">
        <f t="shared" si="18"/>
        <v>0</v>
      </c>
      <c r="Q121" s="371"/>
      <c r="R121" s="372"/>
      <c r="S121" s="372"/>
      <c r="T121" s="372"/>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row>
    <row r="122" spans="3:46" ht="15.75">
      <c r="C122" s="372"/>
      <c r="D122" s="372"/>
      <c r="E122" s="372"/>
      <c r="F122" s="372"/>
      <c r="G122" s="372"/>
      <c r="H122" s="372"/>
      <c r="I122" s="372"/>
      <c r="J122" s="372"/>
      <c r="K122" s="372"/>
      <c r="L122" s="372"/>
      <c r="M122" s="372"/>
      <c r="N122" s="372"/>
      <c r="O122" s="372"/>
      <c r="P122" s="371">
        <f t="shared" si="18"/>
        <v>0</v>
      </c>
      <c r="Q122" s="371"/>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row>
    <row r="123" spans="3:46" ht="15.75">
      <c r="C123" s="372"/>
      <c r="D123" s="372"/>
      <c r="E123" s="372"/>
      <c r="F123" s="372"/>
      <c r="G123" s="372"/>
      <c r="H123" s="372"/>
      <c r="I123" s="372"/>
      <c r="J123" s="372"/>
      <c r="K123" s="372"/>
      <c r="L123" s="372"/>
      <c r="M123" s="372"/>
      <c r="N123" s="372"/>
      <c r="O123" s="372"/>
      <c r="P123" s="371">
        <f t="shared" si="18"/>
        <v>0</v>
      </c>
      <c r="Q123" s="371"/>
      <c r="R123" s="372"/>
      <c r="S123" s="372"/>
      <c r="T123" s="372"/>
      <c r="U123" s="372"/>
      <c r="V123" s="372"/>
      <c r="W123" s="372"/>
      <c r="X123" s="372"/>
      <c r="Y123" s="372"/>
      <c r="Z123" s="372"/>
      <c r="AA123" s="372"/>
      <c r="AB123" s="372"/>
      <c r="AC123" s="372"/>
      <c r="AD123" s="372"/>
      <c r="AE123" s="372"/>
      <c r="AF123" s="372"/>
      <c r="AG123" s="372"/>
      <c r="AH123" s="372"/>
      <c r="AI123" s="372"/>
      <c r="AJ123" s="372"/>
      <c r="AK123" s="372"/>
      <c r="AL123" s="372"/>
      <c r="AM123" s="372"/>
      <c r="AN123" s="372"/>
      <c r="AO123" s="372"/>
      <c r="AP123" s="372"/>
      <c r="AQ123" s="372"/>
      <c r="AR123" s="372"/>
      <c r="AS123" s="372"/>
      <c r="AT123" s="372"/>
    </row>
    <row r="124" spans="3:46" ht="15.75">
      <c r="C124" s="372"/>
      <c r="D124" s="372"/>
      <c r="E124" s="372"/>
      <c r="F124" s="372"/>
      <c r="G124" s="372"/>
      <c r="H124" s="372"/>
      <c r="I124" s="372"/>
      <c r="J124" s="372"/>
      <c r="K124" s="372"/>
      <c r="L124" s="372"/>
      <c r="M124" s="372"/>
      <c r="N124" s="372"/>
      <c r="O124" s="372"/>
      <c r="P124" s="371">
        <f t="shared" si="18"/>
        <v>0</v>
      </c>
      <c r="Q124" s="371"/>
      <c r="R124" s="372"/>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row>
    <row r="125" spans="3:46" ht="15.75">
      <c r="C125" s="372"/>
      <c r="D125" s="372"/>
      <c r="E125" s="372"/>
      <c r="F125" s="372"/>
      <c r="G125" s="372"/>
      <c r="H125" s="372"/>
      <c r="I125" s="372"/>
      <c r="J125" s="372"/>
      <c r="K125" s="372"/>
      <c r="L125" s="372"/>
      <c r="M125" s="372"/>
      <c r="N125" s="372"/>
      <c r="O125" s="372"/>
      <c r="P125" s="371">
        <f t="shared" si="18"/>
        <v>0</v>
      </c>
      <c r="Q125" s="371"/>
      <c r="R125" s="372"/>
      <c r="S125" s="372"/>
      <c r="T125" s="372"/>
      <c r="U125" s="372"/>
      <c r="V125" s="372"/>
      <c r="W125" s="372"/>
      <c r="X125" s="372"/>
      <c r="Y125" s="372"/>
      <c r="Z125" s="372"/>
      <c r="AA125" s="372"/>
      <c r="AB125" s="372"/>
      <c r="AC125" s="372"/>
      <c r="AD125" s="372"/>
      <c r="AE125" s="372"/>
      <c r="AF125" s="372"/>
      <c r="AG125" s="372"/>
      <c r="AH125" s="372"/>
      <c r="AI125" s="372"/>
      <c r="AJ125" s="372"/>
      <c r="AK125" s="372"/>
      <c r="AL125" s="372"/>
      <c r="AM125" s="372"/>
      <c r="AN125" s="372"/>
      <c r="AO125" s="372"/>
      <c r="AP125" s="372"/>
      <c r="AQ125" s="372"/>
      <c r="AR125" s="372"/>
      <c r="AS125" s="372"/>
      <c r="AT125" s="372"/>
    </row>
    <row r="126" spans="3:46" ht="15.75">
      <c r="C126" s="372"/>
      <c r="D126" s="372"/>
      <c r="E126" s="372"/>
      <c r="F126" s="372"/>
      <c r="G126" s="372"/>
      <c r="H126" s="372"/>
      <c r="I126" s="372"/>
      <c r="J126" s="372"/>
      <c r="K126" s="372"/>
      <c r="L126" s="372"/>
      <c r="M126" s="372"/>
      <c r="N126" s="372"/>
      <c r="O126" s="372"/>
      <c r="P126" s="371">
        <f t="shared" si="18"/>
        <v>0</v>
      </c>
      <c r="Q126" s="371"/>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row>
    <row r="127" spans="3:46" ht="15.75">
      <c r="C127" s="372"/>
      <c r="D127" s="372"/>
      <c r="E127" s="372"/>
      <c r="F127" s="372"/>
      <c r="G127" s="372"/>
      <c r="H127" s="372"/>
      <c r="I127" s="372"/>
      <c r="J127" s="372"/>
      <c r="K127" s="372"/>
      <c r="L127" s="372"/>
      <c r="M127" s="372"/>
      <c r="N127" s="372"/>
      <c r="O127" s="372"/>
      <c r="P127" s="371">
        <f t="shared" si="18"/>
        <v>0</v>
      </c>
      <c r="Q127" s="371"/>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row>
    <row r="128" spans="3:46" ht="15.75">
      <c r="C128" s="372"/>
      <c r="D128" s="372"/>
      <c r="E128" s="372"/>
      <c r="F128" s="372"/>
      <c r="G128" s="372"/>
      <c r="H128" s="372"/>
      <c r="I128" s="372"/>
      <c r="J128" s="372"/>
      <c r="K128" s="372"/>
      <c r="L128" s="372"/>
      <c r="M128" s="372"/>
      <c r="N128" s="372"/>
      <c r="O128" s="372"/>
      <c r="P128" s="371">
        <f t="shared" si="18"/>
        <v>0</v>
      </c>
      <c r="Q128" s="371"/>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row>
    <row r="129" spans="3:46" ht="15.75">
      <c r="C129" s="372"/>
      <c r="D129" s="372"/>
      <c r="E129" s="372"/>
      <c r="F129" s="372"/>
      <c r="G129" s="372"/>
      <c r="H129" s="372"/>
      <c r="I129" s="372"/>
      <c r="J129" s="372"/>
      <c r="K129" s="372"/>
      <c r="L129" s="372"/>
      <c r="M129" s="372"/>
      <c r="N129" s="372"/>
      <c r="O129" s="372"/>
      <c r="P129" s="371">
        <f t="shared" si="18"/>
        <v>0</v>
      </c>
      <c r="Q129" s="371"/>
      <c r="R129" s="372"/>
      <c r="S129" s="372"/>
      <c r="T129" s="372"/>
      <c r="U129" s="372"/>
      <c r="V129" s="372"/>
      <c r="W129" s="372"/>
      <c r="X129" s="372"/>
      <c r="Y129" s="372"/>
      <c r="Z129" s="372"/>
      <c r="AA129" s="372"/>
      <c r="AB129" s="372"/>
      <c r="AC129" s="372"/>
      <c r="AD129" s="372"/>
      <c r="AE129" s="372"/>
      <c r="AF129" s="372"/>
      <c r="AG129" s="372"/>
      <c r="AH129" s="372"/>
      <c r="AI129" s="372"/>
      <c r="AJ129" s="372"/>
      <c r="AK129" s="372"/>
      <c r="AL129" s="372"/>
      <c r="AM129" s="372"/>
      <c r="AN129" s="372"/>
      <c r="AO129" s="372"/>
      <c r="AP129" s="372"/>
      <c r="AQ129" s="372"/>
      <c r="AR129" s="372"/>
      <c r="AS129" s="372"/>
      <c r="AT129" s="372"/>
    </row>
    <row r="130" spans="3:46" ht="15.75">
      <c r="C130" s="372"/>
      <c r="D130" s="372"/>
      <c r="E130" s="372"/>
      <c r="F130" s="372"/>
      <c r="G130" s="372"/>
      <c r="H130" s="372"/>
      <c r="I130" s="372"/>
      <c r="J130" s="372"/>
      <c r="K130" s="372"/>
      <c r="L130" s="372"/>
      <c r="M130" s="372"/>
      <c r="N130" s="372"/>
      <c r="O130" s="372"/>
      <c r="P130" s="371">
        <f t="shared" si="18"/>
        <v>0</v>
      </c>
      <c r="Q130" s="371"/>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row>
    <row r="131" spans="3:46" ht="15.75">
      <c r="C131" s="372"/>
      <c r="D131" s="372"/>
      <c r="E131" s="372"/>
      <c r="F131" s="372"/>
      <c r="G131" s="372"/>
      <c r="H131" s="372"/>
      <c r="I131" s="372"/>
      <c r="J131" s="372"/>
      <c r="K131" s="372"/>
      <c r="L131" s="372"/>
      <c r="M131" s="372"/>
      <c r="N131" s="372"/>
      <c r="O131" s="372"/>
      <c r="P131" s="371">
        <f t="shared" si="18"/>
        <v>0</v>
      </c>
      <c r="Q131" s="371"/>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row>
    <row r="132" spans="3:46" ht="15.75">
      <c r="C132" s="372"/>
      <c r="D132" s="372"/>
      <c r="E132" s="372"/>
      <c r="F132" s="372"/>
      <c r="G132" s="372"/>
      <c r="H132" s="372"/>
      <c r="I132" s="372"/>
      <c r="J132" s="372"/>
      <c r="K132" s="372"/>
      <c r="L132" s="372"/>
      <c r="M132" s="372"/>
      <c r="N132" s="372"/>
      <c r="O132" s="372"/>
      <c r="P132" s="371">
        <f t="shared" si="18"/>
        <v>0</v>
      </c>
      <c r="Q132" s="371"/>
      <c r="R132" s="372"/>
      <c r="S132" s="372"/>
      <c r="T132" s="372"/>
      <c r="U132" s="372"/>
      <c r="V132" s="372"/>
      <c r="W132" s="372"/>
      <c r="X132" s="372"/>
      <c r="Y132" s="372"/>
      <c r="Z132" s="372"/>
      <c r="AA132" s="372"/>
      <c r="AB132" s="372"/>
      <c r="AC132" s="372"/>
      <c r="AD132" s="372"/>
      <c r="AE132" s="372"/>
      <c r="AF132" s="372"/>
      <c r="AG132" s="372"/>
      <c r="AH132" s="372"/>
      <c r="AI132" s="372"/>
      <c r="AJ132" s="372"/>
      <c r="AK132" s="372"/>
      <c r="AL132" s="372"/>
      <c r="AM132" s="372"/>
      <c r="AN132" s="372"/>
      <c r="AO132" s="372"/>
      <c r="AP132" s="372"/>
      <c r="AQ132" s="372"/>
      <c r="AR132" s="372"/>
      <c r="AS132" s="372"/>
      <c r="AT132" s="372"/>
    </row>
    <row r="133" spans="3:46" ht="15.75">
      <c r="C133" s="372"/>
      <c r="D133" s="372"/>
      <c r="E133" s="372"/>
      <c r="F133" s="372"/>
      <c r="G133" s="372"/>
      <c r="H133" s="372"/>
      <c r="I133" s="372"/>
      <c r="J133" s="372"/>
      <c r="K133" s="372"/>
      <c r="L133" s="372"/>
      <c r="M133" s="372"/>
      <c r="N133" s="372"/>
      <c r="O133" s="372"/>
      <c r="P133" s="371">
        <f t="shared" si="18"/>
        <v>0</v>
      </c>
      <c r="Q133" s="371"/>
      <c r="R133" s="372"/>
      <c r="S133" s="372"/>
      <c r="T133" s="372"/>
      <c r="U133" s="372"/>
      <c r="V133" s="372"/>
      <c r="W133" s="372"/>
      <c r="X133" s="372"/>
      <c r="Y133" s="372"/>
      <c r="Z133" s="372"/>
      <c r="AA133" s="372"/>
      <c r="AB133" s="372"/>
      <c r="AC133" s="372"/>
      <c r="AD133" s="372"/>
      <c r="AE133" s="372"/>
      <c r="AF133" s="372"/>
      <c r="AG133" s="372"/>
      <c r="AH133" s="372"/>
      <c r="AI133" s="372"/>
      <c r="AJ133" s="372"/>
      <c r="AK133" s="372"/>
      <c r="AL133" s="372"/>
      <c r="AM133" s="372"/>
      <c r="AN133" s="372"/>
      <c r="AO133" s="372"/>
      <c r="AP133" s="372"/>
      <c r="AQ133" s="372"/>
      <c r="AR133" s="372"/>
      <c r="AS133" s="372"/>
      <c r="AT133" s="372"/>
    </row>
    <row r="134" spans="3:46" ht="15.75">
      <c r="C134" s="372"/>
      <c r="D134" s="372"/>
      <c r="E134" s="372"/>
      <c r="F134" s="372"/>
      <c r="G134" s="372"/>
      <c r="H134" s="372"/>
      <c r="I134" s="372"/>
      <c r="J134" s="372"/>
      <c r="K134" s="372"/>
      <c r="L134" s="372"/>
      <c r="M134" s="372"/>
      <c r="N134" s="372"/>
      <c r="O134" s="372"/>
      <c r="P134" s="371">
        <f t="shared" si="18"/>
        <v>0</v>
      </c>
      <c r="Q134" s="371"/>
      <c r="R134" s="372"/>
      <c r="S134" s="372"/>
      <c r="T134" s="372"/>
      <c r="U134" s="372"/>
      <c r="V134" s="372"/>
      <c r="W134" s="372"/>
      <c r="X134" s="372"/>
      <c r="Y134" s="372"/>
      <c r="Z134" s="372"/>
      <c r="AA134" s="372"/>
      <c r="AB134" s="372"/>
      <c r="AC134" s="372"/>
      <c r="AD134" s="372"/>
      <c r="AE134" s="372"/>
      <c r="AF134" s="372"/>
      <c r="AG134" s="372"/>
      <c r="AH134" s="372"/>
      <c r="AI134" s="372"/>
      <c r="AJ134" s="372"/>
      <c r="AK134" s="372"/>
      <c r="AL134" s="372"/>
      <c r="AM134" s="372"/>
      <c r="AN134" s="372"/>
      <c r="AO134" s="372"/>
      <c r="AP134" s="372"/>
      <c r="AQ134" s="372"/>
      <c r="AR134" s="372"/>
      <c r="AS134" s="372"/>
      <c r="AT134" s="372"/>
    </row>
    <row r="135" spans="3:46" ht="15.75">
      <c r="C135" s="372"/>
      <c r="D135" s="372"/>
      <c r="E135" s="372"/>
      <c r="F135" s="372"/>
      <c r="G135" s="372"/>
      <c r="H135" s="372"/>
      <c r="I135" s="372"/>
      <c r="J135" s="372"/>
      <c r="K135" s="372"/>
      <c r="L135" s="372"/>
      <c r="M135" s="372"/>
      <c r="N135" s="372"/>
      <c r="O135" s="372"/>
      <c r="P135" s="371">
        <f t="shared" si="18"/>
        <v>0</v>
      </c>
      <c r="Q135" s="371"/>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row>
    <row r="136" spans="3:46" ht="15.75">
      <c r="C136" s="372"/>
      <c r="D136" s="372"/>
      <c r="E136" s="372"/>
      <c r="F136" s="372"/>
      <c r="G136" s="372"/>
      <c r="H136" s="372"/>
      <c r="I136" s="372"/>
      <c r="J136" s="372"/>
      <c r="K136" s="372"/>
      <c r="L136" s="372"/>
      <c r="M136" s="372"/>
      <c r="N136" s="372"/>
      <c r="O136" s="372"/>
      <c r="P136" s="371">
        <f t="shared" si="18"/>
        <v>0</v>
      </c>
      <c r="Q136" s="371"/>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row>
    <row r="137" spans="3:46" ht="15.75">
      <c r="C137" s="372"/>
      <c r="D137" s="372"/>
      <c r="E137" s="372"/>
      <c r="F137" s="372"/>
      <c r="G137" s="372"/>
      <c r="H137" s="372"/>
      <c r="I137" s="372"/>
      <c r="J137" s="372"/>
      <c r="K137" s="372"/>
      <c r="L137" s="372"/>
      <c r="M137" s="372"/>
      <c r="N137" s="372"/>
      <c r="O137" s="372"/>
      <c r="P137" s="371">
        <f t="shared" si="18"/>
        <v>0</v>
      </c>
      <c r="Q137" s="371"/>
      <c r="R137" s="372"/>
      <c r="S137" s="372"/>
      <c r="T137" s="372"/>
      <c r="U137" s="372"/>
      <c r="V137" s="372"/>
      <c r="W137" s="372"/>
      <c r="X137" s="372"/>
      <c r="Y137" s="372"/>
      <c r="Z137" s="372"/>
      <c r="AA137" s="372"/>
      <c r="AB137" s="372"/>
      <c r="AC137" s="372"/>
      <c r="AD137" s="372"/>
      <c r="AE137" s="372"/>
      <c r="AF137" s="372"/>
      <c r="AG137" s="372"/>
      <c r="AH137" s="372"/>
      <c r="AI137" s="372"/>
      <c r="AJ137" s="372"/>
      <c r="AK137" s="372"/>
      <c r="AL137" s="372"/>
      <c r="AM137" s="372"/>
      <c r="AN137" s="372"/>
      <c r="AO137" s="372"/>
      <c r="AP137" s="372"/>
      <c r="AQ137" s="372"/>
      <c r="AR137" s="372"/>
      <c r="AS137" s="372"/>
      <c r="AT137" s="372"/>
    </row>
    <row r="138" spans="3:46" ht="15.75">
      <c r="C138" s="372"/>
      <c r="D138" s="372"/>
      <c r="E138" s="372"/>
      <c r="F138" s="372"/>
      <c r="G138" s="372"/>
      <c r="H138" s="372"/>
      <c r="I138" s="372"/>
      <c r="J138" s="372"/>
      <c r="K138" s="372"/>
      <c r="L138" s="372"/>
      <c r="M138" s="372"/>
      <c r="N138" s="372"/>
      <c r="O138" s="372"/>
      <c r="P138" s="371">
        <f t="shared" si="18"/>
        <v>0</v>
      </c>
      <c r="Q138" s="371"/>
      <c r="R138" s="372"/>
      <c r="S138" s="372"/>
      <c r="T138" s="372"/>
      <c r="U138" s="372"/>
      <c r="V138" s="372"/>
      <c r="W138" s="372"/>
      <c r="X138" s="372"/>
      <c r="Y138" s="372"/>
      <c r="Z138" s="372"/>
      <c r="AA138" s="372"/>
      <c r="AB138" s="372"/>
      <c r="AC138" s="372"/>
      <c r="AD138" s="372"/>
      <c r="AE138" s="372"/>
      <c r="AF138" s="372"/>
      <c r="AG138" s="372"/>
      <c r="AH138" s="372"/>
      <c r="AI138" s="372"/>
      <c r="AJ138" s="372"/>
      <c r="AK138" s="372"/>
      <c r="AL138" s="372"/>
      <c r="AM138" s="372"/>
      <c r="AN138" s="372"/>
      <c r="AO138" s="372"/>
      <c r="AP138" s="372"/>
      <c r="AQ138" s="372"/>
      <c r="AR138" s="372"/>
      <c r="AS138" s="372"/>
      <c r="AT138" s="372"/>
    </row>
    <row r="139" spans="3:46" ht="15.75">
      <c r="C139" s="372"/>
      <c r="D139" s="372"/>
      <c r="E139" s="372"/>
      <c r="F139" s="372"/>
      <c r="G139" s="372"/>
      <c r="H139" s="372"/>
      <c r="I139" s="372"/>
      <c r="J139" s="372"/>
      <c r="K139" s="372"/>
      <c r="L139" s="372"/>
      <c r="M139" s="372"/>
      <c r="N139" s="372"/>
      <c r="O139" s="372"/>
      <c r="P139" s="371">
        <f t="shared" si="18"/>
        <v>0</v>
      </c>
      <c r="Q139" s="371"/>
      <c r="R139" s="372"/>
      <c r="S139" s="372"/>
      <c r="T139" s="372"/>
      <c r="U139" s="372"/>
      <c r="V139" s="372"/>
      <c r="W139" s="372"/>
      <c r="X139" s="372"/>
      <c r="Y139" s="372"/>
      <c r="Z139" s="372"/>
      <c r="AA139" s="372"/>
      <c r="AB139" s="372"/>
      <c r="AC139" s="372"/>
      <c r="AD139" s="372"/>
      <c r="AE139" s="372"/>
      <c r="AF139" s="372"/>
      <c r="AG139" s="372"/>
      <c r="AH139" s="372"/>
      <c r="AI139" s="372"/>
      <c r="AJ139" s="372"/>
      <c r="AK139" s="372"/>
      <c r="AL139" s="372"/>
      <c r="AM139" s="372"/>
      <c r="AN139" s="372"/>
      <c r="AO139" s="372"/>
      <c r="AP139" s="372"/>
      <c r="AQ139" s="372"/>
      <c r="AR139" s="372"/>
      <c r="AS139" s="372"/>
      <c r="AT139" s="372"/>
    </row>
    <row r="140" spans="3:46" ht="15.75">
      <c r="C140" s="372"/>
      <c r="D140" s="372"/>
      <c r="E140" s="372"/>
      <c r="F140" s="372"/>
      <c r="G140" s="372"/>
      <c r="H140" s="372"/>
      <c r="I140" s="372"/>
      <c r="J140" s="372"/>
      <c r="K140" s="372"/>
      <c r="L140" s="372"/>
      <c r="M140" s="372"/>
      <c r="N140" s="372"/>
      <c r="O140" s="372"/>
      <c r="P140" s="371">
        <f t="shared" si="18"/>
        <v>0</v>
      </c>
      <c r="Q140" s="371"/>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c r="AN140" s="372"/>
      <c r="AO140" s="372"/>
      <c r="AP140" s="372"/>
      <c r="AQ140" s="372"/>
      <c r="AR140" s="372"/>
      <c r="AS140" s="372"/>
      <c r="AT140" s="372"/>
    </row>
    <row r="141" spans="3:46" ht="15.75">
      <c r="C141" s="372"/>
      <c r="D141" s="372"/>
      <c r="E141" s="372"/>
      <c r="F141" s="372"/>
      <c r="G141" s="372"/>
      <c r="H141" s="372"/>
      <c r="I141" s="372"/>
      <c r="J141" s="372"/>
      <c r="K141" s="372"/>
      <c r="L141" s="372"/>
      <c r="M141" s="372"/>
      <c r="N141" s="372"/>
      <c r="O141" s="372"/>
      <c r="P141" s="371">
        <f t="shared" si="18"/>
        <v>0</v>
      </c>
      <c r="Q141" s="371"/>
      <c r="R141" s="372"/>
      <c r="S141" s="372"/>
      <c r="T141" s="372"/>
      <c r="U141" s="372"/>
      <c r="V141" s="372"/>
      <c r="W141" s="372"/>
      <c r="X141" s="372"/>
      <c r="Y141" s="372"/>
      <c r="Z141" s="372"/>
      <c r="AA141" s="372"/>
      <c r="AB141" s="372"/>
      <c r="AC141" s="372"/>
      <c r="AD141" s="372"/>
      <c r="AE141" s="372"/>
      <c r="AF141" s="372"/>
      <c r="AG141" s="372"/>
      <c r="AH141" s="372"/>
      <c r="AI141" s="372"/>
      <c r="AJ141" s="372"/>
      <c r="AK141" s="372"/>
      <c r="AL141" s="372"/>
      <c r="AM141" s="372"/>
      <c r="AN141" s="372"/>
      <c r="AO141" s="372"/>
      <c r="AP141" s="372"/>
      <c r="AQ141" s="372"/>
      <c r="AR141" s="372"/>
      <c r="AS141" s="372"/>
      <c r="AT141" s="372"/>
    </row>
    <row r="142" spans="3:46" ht="15.75">
      <c r="C142" s="372"/>
      <c r="D142" s="372"/>
      <c r="E142" s="372"/>
      <c r="F142" s="372"/>
      <c r="G142" s="372"/>
      <c r="H142" s="372"/>
      <c r="I142" s="372"/>
      <c r="J142" s="372"/>
      <c r="K142" s="372"/>
      <c r="L142" s="372"/>
      <c r="M142" s="372"/>
      <c r="N142" s="372"/>
      <c r="O142" s="372"/>
      <c r="P142" s="371">
        <f t="shared" si="18"/>
        <v>0</v>
      </c>
      <c r="Q142" s="371"/>
      <c r="R142" s="372"/>
      <c r="S142" s="372"/>
      <c r="T142" s="372"/>
      <c r="U142" s="372"/>
      <c r="V142" s="372"/>
      <c r="W142" s="372"/>
      <c r="X142" s="372"/>
      <c r="Y142" s="372"/>
      <c r="Z142" s="372"/>
      <c r="AA142" s="372"/>
      <c r="AB142" s="372"/>
      <c r="AC142" s="372"/>
      <c r="AD142" s="372"/>
      <c r="AE142" s="372"/>
      <c r="AF142" s="372"/>
      <c r="AG142" s="372"/>
      <c r="AH142" s="372"/>
      <c r="AI142" s="372"/>
      <c r="AJ142" s="372"/>
      <c r="AK142" s="372"/>
      <c r="AL142" s="372"/>
      <c r="AM142" s="372"/>
      <c r="AN142" s="372"/>
      <c r="AO142" s="372"/>
      <c r="AP142" s="372"/>
      <c r="AQ142" s="372"/>
      <c r="AR142" s="372"/>
      <c r="AS142" s="372"/>
      <c r="AT142" s="372"/>
    </row>
    <row r="143" spans="3:46" ht="15.75">
      <c r="C143" s="372"/>
      <c r="D143" s="372"/>
      <c r="E143" s="372"/>
      <c r="F143" s="372"/>
      <c r="G143" s="372"/>
      <c r="H143" s="372"/>
      <c r="I143" s="372"/>
      <c r="J143" s="372"/>
      <c r="K143" s="372"/>
      <c r="L143" s="372"/>
      <c r="M143" s="372"/>
      <c r="N143" s="372"/>
      <c r="O143" s="372"/>
      <c r="P143" s="371">
        <f t="shared" si="18"/>
        <v>0</v>
      </c>
      <c r="Q143" s="371"/>
      <c r="R143" s="372"/>
      <c r="S143" s="372"/>
      <c r="T143" s="372"/>
      <c r="U143" s="372"/>
      <c r="V143" s="372"/>
      <c r="W143" s="372"/>
      <c r="X143" s="372"/>
      <c r="Y143" s="372"/>
      <c r="Z143" s="372"/>
      <c r="AA143" s="372"/>
      <c r="AB143" s="372"/>
      <c r="AC143" s="372"/>
      <c r="AD143" s="372"/>
      <c r="AE143" s="372"/>
      <c r="AF143" s="372"/>
      <c r="AG143" s="372"/>
      <c r="AH143" s="372"/>
      <c r="AI143" s="372"/>
      <c r="AJ143" s="372"/>
      <c r="AK143" s="372"/>
      <c r="AL143" s="372"/>
      <c r="AM143" s="372"/>
      <c r="AN143" s="372"/>
      <c r="AO143" s="372"/>
      <c r="AP143" s="372"/>
      <c r="AQ143" s="372"/>
      <c r="AR143" s="372"/>
      <c r="AS143" s="372"/>
      <c r="AT143" s="372"/>
    </row>
    <row r="144" spans="3:46" ht="15.75">
      <c r="C144" s="372"/>
      <c r="D144" s="372"/>
      <c r="E144" s="372"/>
      <c r="F144" s="372"/>
      <c r="G144" s="372"/>
      <c r="H144" s="372"/>
      <c r="I144" s="372"/>
      <c r="J144" s="372"/>
      <c r="K144" s="372"/>
      <c r="L144" s="372"/>
      <c r="M144" s="372"/>
      <c r="N144" s="372"/>
      <c r="O144" s="372"/>
      <c r="P144" s="371">
        <f t="shared" si="18"/>
        <v>0</v>
      </c>
      <c r="Q144" s="371"/>
      <c r="R144" s="372"/>
      <c r="S144" s="372"/>
      <c r="T144" s="372"/>
      <c r="U144" s="372"/>
      <c r="V144" s="372"/>
      <c r="W144" s="372"/>
      <c r="X144" s="372"/>
      <c r="Y144" s="372"/>
      <c r="Z144" s="372"/>
      <c r="AA144" s="372"/>
      <c r="AB144" s="372"/>
      <c r="AC144" s="372"/>
      <c r="AD144" s="372"/>
      <c r="AE144" s="372"/>
      <c r="AF144" s="372"/>
      <c r="AG144" s="372"/>
      <c r="AH144" s="372"/>
      <c r="AI144" s="372"/>
      <c r="AJ144" s="372"/>
      <c r="AK144" s="372"/>
      <c r="AL144" s="372"/>
      <c r="AM144" s="372"/>
      <c r="AN144" s="372"/>
      <c r="AO144" s="372"/>
      <c r="AP144" s="372"/>
      <c r="AQ144" s="372"/>
      <c r="AR144" s="372"/>
      <c r="AS144" s="372"/>
      <c r="AT144" s="372"/>
    </row>
    <row r="145" spans="3:46" ht="15.75">
      <c r="C145" s="372"/>
      <c r="D145" s="372"/>
      <c r="E145" s="372"/>
      <c r="F145" s="372"/>
      <c r="G145" s="372"/>
      <c r="H145" s="372"/>
      <c r="I145" s="372"/>
      <c r="J145" s="372"/>
      <c r="K145" s="372"/>
      <c r="L145" s="372"/>
      <c r="M145" s="372"/>
      <c r="N145" s="372"/>
      <c r="O145" s="372"/>
      <c r="P145" s="371">
        <f t="shared" si="18"/>
        <v>0</v>
      </c>
      <c r="Q145" s="371"/>
      <c r="R145" s="372"/>
      <c r="S145" s="372"/>
      <c r="T145" s="372"/>
      <c r="U145" s="372"/>
      <c r="V145" s="372"/>
      <c r="W145" s="372"/>
      <c r="X145" s="372"/>
      <c r="Y145" s="372"/>
      <c r="Z145" s="372"/>
      <c r="AA145" s="372"/>
      <c r="AB145" s="372"/>
      <c r="AC145" s="372"/>
      <c r="AD145" s="372"/>
      <c r="AE145" s="372"/>
      <c r="AF145" s="372"/>
      <c r="AG145" s="372"/>
      <c r="AH145" s="372"/>
      <c r="AI145" s="372"/>
      <c r="AJ145" s="372"/>
      <c r="AK145" s="372"/>
      <c r="AL145" s="372"/>
      <c r="AM145" s="372"/>
      <c r="AN145" s="372"/>
      <c r="AO145" s="372"/>
      <c r="AP145" s="372"/>
      <c r="AQ145" s="372"/>
      <c r="AR145" s="372"/>
      <c r="AS145" s="372"/>
      <c r="AT145" s="372"/>
    </row>
    <row r="146" spans="3:46" ht="15.75">
      <c r="C146" s="372"/>
      <c r="D146" s="372"/>
      <c r="E146" s="372"/>
      <c r="F146" s="372"/>
      <c r="G146" s="372"/>
      <c r="H146" s="372"/>
      <c r="I146" s="372"/>
      <c r="J146" s="372"/>
      <c r="K146" s="372"/>
      <c r="L146" s="372"/>
      <c r="M146" s="372"/>
      <c r="N146" s="372"/>
      <c r="O146" s="372"/>
      <c r="P146" s="371">
        <f t="shared" si="18"/>
        <v>0</v>
      </c>
      <c r="Q146" s="371"/>
      <c r="R146" s="372"/>
      <c r="S146" s="372"/>
      <c r="T146" s="372"/>
      <c r="U146" s="372"/>
      <c r="V146" s="372"/>
      <c r="W146" s="372"/>
      <c r="X146" s="372"/>
      <c r="Y146" s="372"/>
      <c r="Z146" s="372"/>
      <c r="AA146" s="372"/>
      <c r="AB146" s="372"/>
      <c r="AC146" s="372"/>
      <c r="AD146" s="372"/>
      <c r="AE146" s="372"/>
      <c r="AF146" s="372"/>
      <c r="AG146" s="372"/>
      <c r="AH146" s="372"/>
      <c r="AI146" s="372"/>
      <c r="AJ146" s="372"/>
      <c r="AK146" s="372"/>
      <c r="AL146" s="372"/>
      <c r="AM146" s="372"/>
      <c r="AN146" s="372"/>
      <c r="AO146" s="372"/>
      <c r="AP146" s="372"/>
      <c r="AQ146" s="372"/>
      <c r="AR146" s="372"/>
      <c r="AS146" s="372"/>
      <c r="AT146" s="372"/>
    </row>
    <row r="147" spans="3:46" ht="15.75">
      <c r="C147" s="372"/>
      <c r="D147" s="372"/>
      <c r="E147" s="372"/>
      <c r="F147" s="372"/>
      <c r="G147" s="372"/>
      <c r="H147" s="372"/>
      <c r="I147" s="372"/>
      <c r="J147" s="372"/>
      <c r="K147" s="372"/>
      <c r="L147" s="372"/>
      <c r="M147" s="372"/>
      <c r="N147" s="372"/>
      <c r="O147" s="372"/>
      <c r="P147" s="371">
        <f t="shared" si="18"/>
        <v>0</v>
      </c>
      <c r="Q147" s="371"/>
      <c r="R147" s="372"/>
      <c r="S147" s="372"/>
      <c r="T147" s="372"/>
      <c r="U147" s="372"/>
      <c r="V147" s="372"/>
      <c r="W147" s="372"/>
      <c r="X147" s="372"/>
      <c r="Y147" s="372"/>
      <c r="Z147" s="372"/>
      <c r="AA147" s="372"/>
      <c r="AB147" s="372"/>
      <c r="AC147" s="372"/>
      <c r="AD147" s="372"/>
      <c r="AE147" s="372"/>
      <c r="AF147" s="372"/>
      <c r="AG147" s="372"/>
      <c r="AH147" s="372"/>
      <c r="AI147" s="372"/>
      <c r="AJ147" s="372"/>
      <c r="AK147" s="372"/>
      <c r="AL147" s="372"/>
      <c r="AM147" s="372"/>
      <c r="AN147" s="372"/>
      <c r="AO147" s="372"/>
      <c r="AP147" s="372"/>
      <c r="AQ147" s="372"/>
      <c r="AR147" s="372"/>
      <c r="AS147" s="372"/>
      <c r="AT147" s="372"/>
    </row>
    <row r="148" spans="3:46" ht="15.75">
      <c r="C148" s="372"/>
      <c r="D148" s="372"/>
      <c r="E148" s="372"/>
      <c r="F148" s="372"/>
      <c r="G148" s="372"/>
      <c r="H148" s="372"/>
      <c r="I148" s="372"/>
      <c r="J148" s="372"/>
      <c r="K148" s="372"/>
      <c r="L148" s="372"/>
      <c r="M148" s="372"/>
      <c r="N148" s="372"/>
      <c r="O148" s="372"/>
      <c r="P148" s="371">
        <f t="shared" si="18"/>
        <v>0</v>
      </c>
      <c r="Q148" s="371"/>
      <c r="R148" s="372"/>
      <c r="S148" s="372"/>
      <c r="T148" s="372"/>
      <c r="U148" s="372"/>
      <c r="V148" s="372"/>
      <c r="W148" s="372"/>
      <c r="X148" s="372"/>
      <c r="Y148" s="372"/>
      <c r="Z148" s="372"/>
      <c r="AA148" s="372"/>
      <c r="AB148" s="372"/>
      <c r="AC148" s="372"/>
      <c r="AD148" s="372"/>
      <c r="AE148" s="372"/>
      <c r="AF148" s="372"/>
      <c r="AG148" s="372"/>
      <c r="AH148" s="372"/>
      <c r="AI148" s="372"/>
      <c r="AJ148" s="372"/>
      <c r="AK148" s="372"/>
      <c r="AL148" s="372"/>
      <c r="AM148" s="372"/>
      <c r="AN148" s="372"/>
      <c r="AO148" s="372"/>
      <c r="AP148" s="372"/>
      <c r="AQ148" s="372"/>
      <c r="AR148" s="372"/>
      <c r="AS148" s="372"/>
      <c r="AT148" s="372"/>
    </row>
    <row r="149" spans="3:46" ht="15.75">
      <c r="C149" s="372"/>
      <c r="D149" s="372"/>
      <c r="E149" s="372"/>
      <c r="F149" s="372"/>
      <c r="G149" s="372"/>
      <c r="H149" s="372"/>
      <c r="I149" s="372"/>
      <c r="J149" s="372"/>
      <c r="K149" s="372"/>
      <c r="L149" s="372"/>
      <c r="M149" s="372"/>
      <c r="N149" s="372"/>
      <c r="O149" s="372"/>
      <c r="P149" s="371">
        <f t="shared" si="18"/>
        <v>0</v>
      </c>
      <c r="Q149" s="371"/>
      <c r="R149" s="372"/>
      <c r="S149" s="372"/>
      <c r="T149" s="372"/>
      <c r="U149" s="372"/>
      <c r="V149" s="372"/>
      <c r="W149" s="372"/>
      <c r="X149" s="372"/>
      <c r="Y149" s="372"/>
      <c r="Z149" s="372"/>
      <c r="AA149" s="372"/>
      <c r="AB149" s="372"/>
      <c r="AC149" s="372"/>
      <c r="AD149" s="372"/>
      <c r="AE149" s="372"/>
      <c r="AF149" s="372"/>
      <c r="AG149" s="372"/>
      <c r="AH149" s="372"/>
      <c r="AI149" s="372"/>
      <c r="AJ149" s="372"/>
      <c r="AK149" s="372"/>
      <c r="AL149" s="372"/>
      <c r="AM149" s="372"/>
      <c r="AN149" s="372"/>
      <c r="AO149" s="372"/>
      <c r="AP149" s="372"/>
      <c r="AQ149" s="372"/>
      <c r="AR149" s="372"/>
      <c r="AS149" s="372"/>
      <c r="AT149" s="372"/>
    </row>
    <row r="150" spans="3:46" ht="15.75">
      <c r="C150" s="372"/>
      <c r="D150" s="372"/>
      <c r="E150" s="372"/>
      <c r="F150" s="372"/>
      <c r="G150" s="372"/>
      <c r="H150" s="372"/>
      <c r="I150" s="372"/>
      <c r="J150" s="372"/>
      <c r="K150" s="372"/>
      <c r="L150" s="372"/>
      <c r="M150" s="372"/>
      <c r="N150" s="372"/>
      <c r="O150" s="372"/>
      <c r="P150" s="371">
        <f t="shared" si="18"/>
        <v>0</v>
      </c>
      <c r="Q150" s="371"/>
      <c r="R150" s="372"/>
      <c r="S150" s="372"/>
      <c r="T150" s="372"/>
      <c r="U150" s="372"/>
      <c r="V150" s="372"/>
      <c r="W150" s="372"/>
      <c r="X150" s="372"/>
      <c r="Y150" s="372"/>
      <c r="Z150" s="372"/>
      <c r="AA150" s="372"/>
      <c r="AB150" s="372"/>
      <c r="AC150" s="372"/>
      <c r="AD150" s="372"/>
      <c r="AE150" s="372"/>
      <c r="AF150" s="372"/>
      <c r="AG150" s="372"/>
      <c r="AH150" s="372"/>
      <c r="AI150" s="372"/>
      <c r="AJ150" s="372"/>
      <c r="AK150" s="372"/>
      <c r="AL150" s="372"/>
      <c r="AM150" s="372"/>
      <c r="AN150" s="372"/>
      <c r="AO150" s="372"/>
      <c r="AP150" s="372"/>
      <c r="AQ150" s="372"/>
      <c r="AR150" s="372"/>
      <c r="AS150" s="372"/>
      <c r="AT150" s="372"/>
    </row>
    <row r="151" spans="3:46" ht="15.75">
      <c r="C151" s="372"/>
      <c r="D151" s="372"/>
      <c r="E151" s="372"/>
      <c r="F151" s="372"/>
      <c r="G151" s="372"/>
      <c r="H151" s="372"/>
      <c r="I151" s="372"/>
      <c r="J151" s="372"/>
      <c r="K151" s="372"/>
      <c r="L151" s="372"/>
      <c r="M151" s="372"/>
      <c r="N151" s="372"/>
      <c r="O151" s="372"/>
      <c r="P151" s="371">
        <f t="shared" si="18"/>
        <v>0</v>
      </c>
      <c r="Q151" s="371"/>
      <c r="R151" s="372"/>
      <c r="S151" s="372"/>
      <c r="T151" s="372"/>
      <c r="U151" s="372"/>
      <c r="V151" s="372"/>
      <c r="W151" s="372"/>
      <c r="X151" s="372"/>
      <c r="Y151" s="372"/>
      <c r="Z151" s="372"/>
      <c r="AA151" s="372"/>
      <c r="AB151" s="372"/>
      <c r="AC151" s="372"/>
      <c r="AD151" s="372"/>
      <c r="AE151" s="372"/>
      <c r="AF151" s="372"/>
      <c r="AG151" s="372"/>
      <c r="AH151" s="372"/>
      <c r="AI151" s="372"/>
      <c r="AJ151" s="372"/>
      <c r="AK151" s="372"/>
      <c r="AL151" s="372"/>
      <c r="AM151" s="372"/>
      <c r="AN151" s="372"/>
      <c r="AO151" s="372"/>
      <c r="AP151" s="372"/>
      <c r="AQ151" s="372"/>
      <c r="AR151" s="372"/>
      <c r="AS151" s="372"/>
      <c r="AT151" s="372"/>
    </row>
    <row r="152" spans="3:46" ht="15.75">
      <c r="C152" s="372"/>
      <c r="D152" s="372"/>
      <c r="E152" s="372"/>
      <c r="F152" s="372"/>
      <c r="G152" s="372"/>
      <c r="H152" s="372"/>
      <c r="I152" s="372"/>
      <c r="J152" s="372"/>
      <c r="K152" s="372"/>
      <c r="L152" s="372"/>
      <c r="M152" s="372"/>
      <c r="N152" s="372"/>
      <c r="O152" s="372"/>
      <c r="P152" s="371">
        <f t="shared" si="18"/>
        <v>0</v>
      </c>
      <c r="Q152" s="371"/>
      <c r="R152" s="372"/>
      <c r="S152" s="372"/>
      <c r="T152" s="372"/>
      <c r="U152" s="372"/>
      <c r="V152" s="372"/>
      <c r="W152" s="372"/>
      <c r="X152" s="372"/>
      <c r="Y152" s="372"/>
      <c r="Z152" s="372"/>
      <c r="AA152" s="372"/>
      <c r="AB152" s="372"/>
      <c r="AC152" s="372"/>
      <c r="AD152" s="372"/>
      <c r="AE152" s="372"/>
      <c r="AF152" s="372"/>
      <c r="AG152" s="372"/>
      <c r="AH152" s="372"/>
      <c r="AI152" s="372"/>
      <c r="AJ152" s="372"/>
      <c r="AK152" s="372"/>
      <c r="AL152" s="372"/>
      <c r="AM152" s="372"/>
      <c r="AN152" s="372"/>
      <c r="AO152" s="372"/>
      <c r="AP152" s="372"/>
      <c r="AQ152" s="372"/>
      <c r="AR152" s="372"/>
      <c r="AS152" s="372"/>
      <c r="AT152" s="372"/>
    </row>
    <row r="153" spans="3:46" ht="15.75">
      <c r="C153" s="372"/>
      <c r="D153" s="372"/>
      <c r="E153" s="372"/>
      <c r="F153" s="372"/>
      <c r="G153" s="372"/>
      <c r="H153" s="372"/>
      <c r="I153" s="372"/>
      <c r="J153" s="372"/>
      <c r="K153" s="372"/>
      <c r="L153" s="372"/>
      <c r="M153" s="372"/>
      <c r="N153" s="372"/>
      <c r="O153" s="372"/>
      <c r="P153" s="371">
        <f t="shared" si="18"/>
        <v>0</v>
      </c>
      <c r="Q153" s="371"/>
      <c r="R153" s="372"/>
      <c r="S153" s="372"/>
      <c r="T153" s="372"/>
      <c r="U153" s="372"/>
      <c r="V153" s="372"/>
      <c r="W153" s="372"/>
      <c r="X153" s="372"/>
      <c r="Y153" s="372"/>
      <c r="Z153" s="372"/>
      <c r="AA153" s="372"/>
      <c r="AB153" s="372"/>
      <c r="AC153" s="372"/>
      <c r="AD153" s="372"/>
      <c r="AE153" s="372"/>
      <c r="AF153" s="372"/>
      <c r="AG153" s="372"/>
      <c r="AH153" s="372"/>
      <c r="AI153" s="372"/>
      <c r="AJ153" s="372"/>
      <c r="AK153" s="372"/>
      <c r="AL153" s="372"/>
      <c r="AM153" s="372"/>
      <c r="AN153" s="372"/>
      <c r="AO153" s="372"/>
      <c r="AP153" s="372"/>
      <c r="AQ153" s="372"/>
      <c r="AR153" s="372"/>
      <c r="AS153" s="372"/>
      <c r="AT153" s="372"/>
    </row>
    <row r="154" spans="3:46" ht="15.75">
      <c r="C154" s="372"/>
      <c r="D154" s="372"/>
      <c r="E154" s="372"/>
      <c r="F154" s="372"/>
      <c r="G154" s="372"/>
      <c r="H154" s="372"/>
      <c r="I154" s="372"/>
      <c r="J154" s="372"/>
      <c r="K154" s="372"/>
      <c r="L154" s="372"/>
      <c r="M154" s="372"/>
      <c r="N154" s="372"/>
      <c r="O154" s="372"/>
      <c r="P154" s="371">
        <f t="shared" si="18"/>
        <v>0</v>
      </c>
      <c r="Q154" s="371"/>
      <c r="R154" s="372"/>
      <c r="S154" s="372"/>
      <c r="T154" s="372"/>
      <c r="U154" s="372"/>
      <c r="V154" s="372"/>
      <c r="W154" s="372"/>
      <c r="X154" s="372"/>
      <c r="Y154" s="372"/>
      <c r="Z154" s="372"/>
      <c r="AA154" s="372"/>
      <c r="AB154" s="372"/>
      <c r="AC154" s="372"/>
      <c r="AD154" s="372"/>
      <c r="AE154" s="372"/>
      <c r="AF154" s="372"/>
      <c r="AG154" s="372"/>
      <c r="AH154" s="372"/>
      <c r="AI154" s="372"/>
      <c r="AJ154" s="372"/>
      <c r="AK154" s="372"/>
      <c r="AL154" s="372"/>
      <c r="AM154" s="372"/>
      <c r="AN154" s="372"/>
      <c r="AO154" s="372"/>
      <c r="AP154" s="372"/>
      <c r="AQ154" s="372"/>
      <c r="AR154" s="372"/>
      <c r="AS154" s="372"/>
      <c r="AT154" s="372"/>
    </row>
    <row r="155" spans="3:46" ht="15.75">
      <c r="C155" s="372"/>
      <c r="D155" s="372"/>
      <c r="E155" s="372"/>
      <c r="F155" s="372"/>
      <c r="G155" s="372"/>
      <c r="H155" s="372"/>
      <c r="I155" s="372"/>
      <c r="J155" s="372"/>
      <c r="K155" s="372"/>
      <c r="L155" s="372"/>
      <c r="M155" s="372"/>
      <c r="N155" s="372"/>
      <c r="O155" s="372"/>
      <c r="P155" s="371">
        <f t="shared" si="18"/>
        <v>0</v>
      </c>
      <c r="Q155" s="371"/>
      <c r="R155" s="372"/>
      <c r="S155" s="372"/>
      <c r="T155" s="372"/>
      <c r="U155" s="372"/>
      <c r="V155" s="372"/>
      <c r="W155" s="372"/>
      <c r="X155" s="372"/>
      <c r="Y155" s="372"/>
      <c r="Z155" s="372"/>
      <c r="AA155" s="372"/>
      <c r="AB155" s="372"/>
      <c r="AC155" s="372"/>
      <c r="AD155" s="372"/>
      <c r="AE155" s="372"/>
      <c r="AF155" s="372"/>
      <c r="AG155" s="372"/>
      <c r="AH155" s="372"/>
      <c r="AI155" s="372"/>
      <c r="AJ155" s="372"/>
      <c r="AK155" s="372"/>
      <c r="AL155" s="372"/>
      <c r="AM155" s="372"/>
      <c r="AN155" s="372"/>
      <c r="AO155" s="372"/>
      <c r="AP155" s="372"/>
      <c r="AQ155" s="372"/>
      <c r="AR155" s="372"/>
      <c r="AS155" s="372"/>
      <c r="AT155" s="372"/>
    </row>
    <row r="156" spans="3:46" ht="15.75">
      <c r="C156" s="372"/>
      <c r="D156" s="372"/>
      <c r="E156" s="372"/>
      <c r="F156" s="372"/>
      <c r="G156" s="372"/>
      <c r="H156" s="372"/>
      <c r="I156" s="372"/>
      <c r="J156" s="372"/>
      <c r="K156" s="372"/>
      <c r="L156" s="372"/>
      <c r="M156" s="372"/>
      <c r="N156" s="372"/>
      <c r="O156" s="372"/>
      <c r="P156" s="371">
        <f t="shared" si="18"/>
        <v>0</v>
      </c>
      <c r="Q156" s="371"/>
      <c r="R156" s="372"/>
      <c r="S156" s="372"/>
      <c r="T156" s="372"/>
      <c r="U156" s="372"/>
      <c r="V156" s="372"/>
      <c r="W156" s="372"/>
      <c r="X156" s="372"/>
      <c r="Y156" s="372"/>
      <c r="Z156" s="372"/>
      <c r="AA156" s="372"/>
      <c r="AB156" s="372"/>
      <c r="AC156" s="372"/>
      <c r="AD156" s="372"/>
      <c r="AE156" s="372"/>
      <c r="AF156" s="372"/>
      <c r="AG156" s="372"/>
      <c r="AH156" s="372"/>
      <c r="AI156" s="372"/>
      <c r="AJ156" s="372"/>
      <c r="AK156" s="372"/>
      <c r="AL156" s="372"/>
      <c r="AM156" s="372"/>
      <c r="AN156" s="372"/>
      <c r="AO156" s="372"/>
      <c r="AP156" s="372"/>
      <c r="AQ156" s="372"/>
      <c r="AR156" s="372"/>
      <c r="AS156" s="372"/>
      <c r="AT156" s="372"/>
    </row>
    <row r="157" spans="3:46" ht="15.75">
      <c r="C157" s="372"/>
      <c r="D157" s="372"/>
      <c r="E157" s="372"/>
      <c r="F157" s="372"/>
      <c r="G157" s="372"/>
      <c r="H157" s="372"/>
      <c r="I157" s="372"/>
      <c r="J157" s="372"/>
      <c r="K157" s="372"/>
      <c r="L157" s="372"/>
      <c r="M157" s="372"/>
      <c r="N157" s="372"/>
      <c r="O157" s="372"/>
      <c r="P157" s="371">
        <f t="shared" si="18"/>
        <v>0</v>
      </c>
      <c r="Q157" s="371"/>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row>
    <row r="158" spans="3:46" ht="15.75">
      <c r="C158" s="372"/>
      <c r="D158" s="372"/>
      <c r="E158" s="372"/>
      <c r="F158" s="372"/>
      <c r="G158" s="372"/>
      <c r="H158" s="372"/>
      <c r="I158" s="372"/>
      <c r="J158" s="372"/>
      <c r="K158" s="372"/>
      <c r="L158" s="372"/>
      <c r="M158" s="372"/>
      <c r="N158" s="372"/>
      <c r="O158" s="372"/>
      <c r="P158" s="371">
        <f t="shared" si="18"/>
        <v>0</v>
      </c>
      <c r="Q158" s="371"/>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row>
    <row r="159" spans="3:46" ht="15.75">
      <c r="C159" s="372"/>
      <c r="D159" s="372"/>
      <c r="E159" s="372"/>
      <c r="F159" s="372"/>
      <c r="G159" s="372"/>
      <c r="H159" s="372"/>
      <c r="I159" s="372"/>
      <c r="J159" s="372"/>
      <c r="K159" s="372"/>
      <c r="L159" s="372"/>
      <c r="M159" s="372"/>
      <c r="N159" s="372"/>
      <c r="O159" s="372"/>
      <c r="P159" s="371">
        <f t="shared" si="18"/>
        <v>0</v>
      </c>
      <c r="Q159" s="371"/>
      <c r="R159" s="372"/>
      <c r="S159" s="372"/>
      <c r="T159" s="372"/>
      <c r="U159" s="372"/>
      <c r="V159" s="372"/>
      <c r="W159" s="372"/>
      <c r="X159" s="372"/>
      <c r="Y159" s="372"/>
      <c r="Z159" s="372"/>
      <c r="AA159" s="372"/>
      <c r="AB159" s="372"/>
      <c r="AC159" s="372"/>
      <c r="AD159" s="372"/>
      <c r="AE159" s="372"/>
      <c r="AF159" s="372"/>
      <c r="AG159" s="372"/>
      <c r="AH159" s="372"/>
      <c r="AI159" s="372"/>
      <c r="AJ159" s="372"/>
      <c r="AK159" s="372"/>
      <c r="AL159" s="372"/>
      <c r="AM159" s="372"/>
      <c r="AN159" s="372"/>
      <c r="AO159" s="372"/>
      <c r="AP159" s="372"/>
      <c r="AQ159" s="372"/>
      <c r="AR159" s="372"/>
      <c r="AS159" s="372"/>
      <c r="AT159" s="372"/>
    </row>
    <row r="160" spans="3:46" ht="15.75">
      <c r="C160" s="372"/>
      <c r="D160" s="372"/>
      <c r="E160" s="372"/>
      <c r="F160" s="372"/>
      <c r="G160" s="372"/>
      <c r="H160" s="372"/>
      <c r="I160" s="372"/>
      <c r="J160" s="372"/>
      <c r="K160" s="372"/>
      <c r="L160" s="372"/>
      <c r="M160" s="372"/>
      <c r="N160" s="372"/>
      <c r="O160" s="372"/>
      <c r="P160" s="371">
        <f t="shared" si="18"/>
        <v>0</v>
      </c>
      <c r="Q160" s="371"/>
      <c r="R160" s="372"/>
      <c r="S160" s="372"/>
      <c r="T160" s="372"/>
      <c r="U160" s="372"/>
      <c r="V160" s="372"/>
      <c r="W160" s="372"/>
      <c r="X160" s="372"/>
      <c r="Y160" s="372"/>
      <c r="Z160" s="372"/>
      <c r="AA160" s="372"/>
      <c r="AB160" s="372"/>
      <c r="AC160" s="372"/>
      <c r="AD160" s="372"/>
      <c r="AE160" s="372"/>
      <c r="AF160" s="372"/>
      <c r="AG160" s="372"/>
      <c r="AH160" s="372"/>
      <c r="AI160" s="372"/>
      <c r="AJ160" s="372"/>
      <c r="AK160" s="372"/>
      <c r="AL160" s="372"/>
      <c r="AM160" s="372"/>
      <c r="AN160" s="372"/>
      <c r="AO160" s="372"/>
      <c r="AP160" s="372"/>
      <c r="AQ160" s="372"/>
      <c r="AR160" s="372"/>
      <c r="AS160" s="372"/>
      <c r="AT160" s="372"/>
    </row>
    <row r="161" spans="3:46" ht="15.75">
      <c r="C161" s="372"/>
      <c r="D161" s="372"/>
      <c r="E161" s="372"/>
      <c r="F161" s="372"/>
      <c r="G161" s="372"/>
      <c r="H161" s="372"/>
      <c r="I161" s="372"/>
      <c r="J161" s="372"/>
      <c r="K161" s="372"/>
      <c r="L161" s="372"/>
      <c r="M161" s="372"/>
      <c r="N161" s="372"/>
      <c r="O161" s="372"/>
      <c r="P161" s="371">
        <f t="shared" si="18"/>
        <v>0</v>
      </c>
      <c r="Q161" s="371"/>
      <c r="R161" s="372"/>
      <c r="S161" s="372"/>
      <c r="T161" s="372"/>
      <c r="U161" s="372"/>
      <c r="V161" s="372"/>
      <c r="W161" s="372"/>
      <c r="X161" s="372"/>
      <c r="Y161" s="372"/>
      <c r="Z161" s="372"/>
      <c r="AA161" s="372"/>
      <c r="AB161" s="372"/>
      <c r="AC161" s="372"/>
      <c r="AD161" s="372"/>
      <c r="AE161" s="372"/>
      <c r="AF161" s="372"/>
      <c r="AG161" s="372"/>
      <c r="AH161" s="372"/>
      <c r="AI161" s="372"/>
      <c r="AJ161" s="372"/>
      <c r="AK161" s="372"/>
      <c r="AL161" s="372"/>
      <c r="AM161" s="372"/>
      <c r="AN161" s="372"/>
      <c r="AO161" s="372"/>
      <c r="AP161" s="372"/>
      <c r="AQ161" s="372"/>
      <c r="AR161" s="372"/>
      <c r="AS161" s="372"/>
      <c r="AT161" s="372"/>
    </row>
    <row r="162" spans="3:46" ht="15.75">
      <c r="C162" s="372"/>
      <c r="D162" s="372"/>
      <c r="E162" s="372"/>
      <c r="F162" s="372"/>
      <c r="G162" s="372"/>
      <c r="H162" s="372"/>
      <c r="I162" s="372"/>
      <c r="J162" s="372"/>
      <c r="K162" s="372"/>
      <c r="L162" s="372"/>
      <c r="M162" s="372"/>
      <c r="N162" s="372"/>
      <c r="O162" s="372"/>
      <c r="P162" s="371">
        <f t="shared" si="18"/>
        <v>0</v>
      </c>
      <c r="Q162" s="371"/>
      <c r="R162" s="372"/>
      <c r="S162" s="372"/>
      <c r="T162" s="372"/>
      <c r="U162" s="372"/>
      <c r="V162" s="372"/>
      <c r="W162" s="372"/>
      <c r="X162" s="372"/>
      <c r="Y162" s="372"/>
      <c r="Z162" s="372"/>
      <c r="AA162" s="372"/>
      <c r="AB162" s="372"/>
      <c r="AC162" s="372"/>
      <c r="AD162" s="372"/>
      <c r="AE162" s="372"/>
      <c r="AF162" s="372"/>
      <c r="AG162" s="372"/>
      <c r="AH162" s="372"/>
      <c r="AI162" s="372"/>
      <c r="AJ162" s="372"/>
      <c r="AK162" s="372"/>
      <c r="AL162" s="372"/>
      <c r="AM162" s="372"/>
      <c r="AN162" s="372"/>
      <c r="AO162" s="372"/>
      <c r="AP162" s="372"/>
      <c r="AQ162" s="372"/>
      <c r="AR162" s="372"/>
      <c r="AS162" s="372"/>
      <c r="AT162" s="372"/>
    </row>
    <row r="163" spans="3:46" ht="15.75">
      <c r="C163" s="372"/>
      <c r="D163" s="372"/>
      <c r="E163" s="372"/>
      <c r="F163" s="372"/>
      <c r="G163" s="372"/>
      <c r="H163" s="372"/>
      <c r="I163" s="372"/>
      <c r="J163" s="372"/>
      <c r="K163" s="372"/>
      <c r="L163" s="372"/>
      <c r="M163" s="372"/>
      <c r="N163" s="372"/>
      <c r="O163" s="372"/>
      <c r="P163" s="371">
        <f t="shared" si="18"/>
        <v>0</v>
      </c>
      <c r="Q163" s="371"/>
      <c r="R163" s="372"/>
      <c r="S163" s="372"/>
      <c r="T163" s="372"/>
      <c r="U163" s="372"/>
      <c r="V163" s="372"/>
      <c r="W163" s="372"/>
      <c r="X163" s="372"/>
      <c r="Y163" s="372"/>
      <c r="Z163" s="372"/>
      <c r="AA163" s="372"/>
      <c r="AB163" s="372"/>
      <c r="AC163" s="372"/>
      <c r="AD163" s="372"/>
      <c r="AE163" s="372"/>
      <c r="AF163" s="372"/>
      <c r="AG163" s="372"/>
      <c r="AH163" s="372"/>
      <c r="AI163" s="372"/>
      <c r="AJ163" s="372"/>
      <c r="AK163" s="372"/>
      <c r="AL163" s="372"/>
      <c r="AM163" s="372"/>
      <c r="AN163" s="372"/>
      <c r="AO163" s="372"/>
      <c r="AP163" s="372"/>
      <c r="AQ163" s="372"/>
      <c r="AR163" s="372"/>
      <c r="AS163" s="372"/>
      <c r="AT163" s="372"/>
    </row>
    <row r="164" spans="3:46" ht="15.75">
      <c r="C164" s="372"/>
      <c r="D164" s="372"/>
      <c r="E164" s="372"/>
      <c r="F164" s="372"/>
      <c r="G164" s="372"/>
      <c r="H164" s="372"/>
      <c r="I164" s="372"/>
      <c r="J164" s="372"/>
      <c r="K164" s="372"/>
      <c r="L164" s="372"/>
      <c r="M164" s="372"/>
      <c r="N164" s="372"/>
      <c r="O164" s="372"/>
      <c r="P164" s="371">
        <f t="shared" si="18"/>
        <v>0</v>
      </c>
      <c r="Q164" s="371"/>
      <c r="R164" s="372"/>
      <c r="S164" s="372"/>
      <c r="T164" s="372"/>
      <c r="U164" s="372"/>
      <c r="V164" s="372"/>
      <c r="W164" s="372"/>
      <c r="X164" s="372"/>
      <c r="Y164" s="372"/>
      <c r="Z164" s="372"/>
      <c r="AA164" s="372"/>
      <c r="AB164" s="372"/>
      <c r="AC164" s="372"/>
      <c r="AD164" s="372"/>
      <c r="AE164" s="372"/>
      <c r="AF164" s="372"/>
      <c r="AG164" s="372"/>
      <c r="AH164" s="372"/>
      <c r="AI164" s="372"/>
      <c r="AJ164" s="372"/>
      <c r="AK164" s="372"/>
      <c r="AL164" s="372"/>
      <c r="AM164" s="372"/>
      <c r="AN164" s="372"/>
      <c r="AO164" s="372"/>
      <c r="AP164" s="372"/>
      <c r="AQ164" s="372"/>
      <c r="AR164" s="372"/>
      <c r="AS164" s="372"/>
      <c r="AT164" s="372"/>
    </row>
    <row r="165" spans="3:46" ht="15.75">
      <c r="C165" s="372"/>
      <c r="D165" s="372"/>
      <c r="E165" s="372"/>
      <c r="F165" s="372"/>
      <c r="G165" s="372"/>
      <c r="H165" s="372"/>
      <c r="I165" s="372"/>
      <c r="J165" s="372"/>
      <c r="K165" s="372"/>
      <c r="L165" s="372"/>
      <c r="M165" s="372"/>
      <c r="N165" s="372"/>
      <c r="O165" s="372"/>
      <c r="P165" s="371">
        <f t="shared" si="18"/>
        <v>0</v>
      </c>
      <c r="Q165" s="371"/>
      <c r="R165" s="372"/>
      <c r="S165" s="372"/>
      <c r="T165" s="372"/>
      <c r="U165" s="372"/>
      <c r="V165" s="372"/>
      <c r="W165" s="372"/>
      <c r="X165" s="372"/>
      <c r="Y165" s="372"/>
      <c r="Z165" s="372"/>
      <c r="AA165" s="372"/>
      <c r="AB165" s="372"/>
      <c r="AC165" s="372"/>
      <c r="AD165" s="372"/>
      <c r="AE165" s="372"/>
      <c r="AF165" s="372"/>
      <c r="AG165" s="372"/>
      <c r="AH165" s="372"/>
      <c r="AI165" s="372"/>
      <c r="AJ165" s="372"/>
      <c r="AK165" s="372"/>
      <c r="AL165" s="372"/>
      <c r="AM165" s="372"/>
      <c r="AN165" s="372"/>
      <c r="AO165" s="372"/>
      <c r="AP165" s="372"/>
      <c r="AQ165" s="372"/>
      <c r="AR165" s="372"/>
      <c r="AS165" s="372"/>
      <c r="AT165" s="372"/>
    </row>
    <row r="166" spans="3:46" ht="15.75">
      <c r="C166" s="372"/>
      <c r="D166" s="372"/>
      <c r="E166" s="372"/>
      <c r="F166" s="372"/>
      <c r="G166" s="372"/>
      <c r="H166" s="372"/>
      <c r="I166" s="372"/>
      <c r="J166" s="372"/>
      <c r="K166" s="372"/>
      <c r="L166" s="372"/>
      <c r="M166" s="372"/>
      <c r="N166" s="372"/>
      <c r="O166" s="372"/>
      <c r="P166" s="371">
        <f t="shared" si="18"/>
        <v>0</v>
      </c>
      <c r="Q166" s="371"/>
      <c r="R166" s="372"/>
      <c r="S166" s="372"/>
      <c r="T166" s="372"/>
      <c r="U166" s="372"/>
      <c r="V166" s="372"/>
      <c r="W166" s="372"/>
      <c r="X166" s="372"/>
      <c r="Y166" s="372"/>
      <c r="Z166" s="372"/>
      <c r="AA166" s="372"/>
      <c r="AB166" s="372"/>
      <c r="AC166" s="372"/>
      <c r="AD166" s="372"/>
      <c r="AE166" s="372"/>
      <c r="AF166" s="372"/>
      <c r="AG166" s="372"/>
      <c r="AH166" s="372"/>
      <c r="AI166" s="372"/>
      <c r="AJ166" s="372"/>
      <c r="AK166" s="372"/>
      <c r="AL166" s="372"/>
      <c r="AM166" s="372"/>
      <c r="AN166" s="372"/>
      <c r="AO166" s="372"/>
      <c r="AP166" s="372"/>
      <c r="AQ166" s="372"/>
      <c r="AR166" s="372"/>
      <c r="AS166" s="372"/>
      <c r="AT166" s="372"/>
    </row>
    <row r="167" spans="3:46" ht="15.75">
      <c r="C167" s="372"/>
      <c r="D167" s="372"/>
      <c r="E167" s="372"/>
      <c r="F167" s="372"/>
      <c r="G167" s="372"/>
      <c r="H167" s="372"/>
      <c r="I167" s="372"/>
      <c r="J167" s="372"/>
      <c r="K167" s="372"/>
      <c r="L167" s="372"/>
      <c r="M167" s="372"/>
      <c r="N167" s="372"/>
      <c r="O167" s="372"/>
      <c r="P167" s="371">
        <f t="shared" si="18"/>
        <v>0</v>
      </c>
      <c r="Q167" s="371"/>
      <c r="R167" s="372"/>
      <c r="S167" s="372"/>
      <c r="T167" s="372"/>
      <c r="U167" s="372"/>
      <c r="V167" s="372"/>
      <c r="W167" s="372"/>
      <c r="X167" s="372"/>
      <c r="Y167" s="372"/>
      <c r="Z167" s="372"/>
      <c r="AA167" s="372"/>
      <c r="AB167" s="372"/>
      <c r="AC167" s="372"/>
      <c r="AD167" s="372"/>
      <c r="AE167" s="372"/>
      <c r="AF167" s="372"/>
      <c r="AG167" s="372"/>
      <c r="AH167" s="372"/>
      <c r="AI167" s="372"/>
      <c r="AJ167" s="372"/>
      <c r="AK167" s="372"/>
      <c r="AL167" s="372"/>
      <c r="AM167" s="372"/>
      <c r="AN167" s="372"/>
      <c r="AO167" s="372"/>
      <c r="AP167" s="372"/>
      <c r="AQ167" s="372"/>
      <c r="AR167" s="372"/>
      <c r="AS167" s="372"/>
      <c r="AT167" s="372"/>
    </row>
    <row r="168" spans="3:46" ht="15.75">
      <c r="C168" s="372"/>
      <c r="D168" s="372"/>
      <c r="E168" s="372"/>
      <c r="F168" s="372"/>
      <c r="G168" s="372"/>
      <c r="H168" s="372"/>
      <c r="I168" s="372"/>
      <c r="J168" s="372"/>
      <c r="K168" s="372"/>
      <c r="L168" s="372"/>
      <c r="M168" s="372"/>
      <c r="N168" s="372"/>
      <c r="O168" s="372"/>
      <c r="P168" s="371">
        <f t="shared" si="18"/>
        <v>0</v>
      </c>
      <c r="Q168" s="371"/>
      <c r="R168" s="372"/>
      <c r="S168" s="372"/>
      <c r="T168" s="372"/>
      <c r="U168" s="372"/>
      <c r="V168" s="372"/>
      <c r="W168" s="372"/>
      <c r="X168" s="372"/>
      <c r="Y168" s="372"/>
      <c r="Z168" s="372"/>
      <c r="AA168" s="372"/>
      <c r="AB168" s="372"/>
      <c r="AC168" s="372"/>
      <c r="AD168" s="372"/>
      <c r="AE168" s="372"/>
      <c r="AF168" s="372"/>
      <c r="AG168" s="372"/>
      <c r="AH168" s="372"/>
      <c r="AI168" s="372"/>
      <c r="AJ168" s="372"/>
      <c r="AK168" s="372"/>
      <c r="AL168" s="372"/>
      <c r="AM168" s="372"/>
      <c r="AN168" s="372"/>
      <c r="AO168" s="372"/>
      <c r="AP168" s="372"/>
      <c r="AQ168" s="372"/>
      <c r="AR168" s="372"/>
      <c r="AS168" s="372"/>
      <c r="AT168" s="372"/>
    </row>
    <row r="169" spans="3:46" ht="15.75">
      <c r="C169" s="372"/>
      <c r="D169" s="372"/>
      <c r="E169" s="372"/>
      <c r="F169" s="372"/>
      <c r="G169" s="372"/>
      <c r="H169" s="372"/>
      <c r="I169" s="372"/>
      <c r="J169" s="372"/>
      <c r="K169" s="372"/>
      <c r="L169" s="372"/>
      <c r="M169" s="372"/>
      <c r="N169" s="372"/>
      <c r="O169" s="372"/>
      <c r="P169" s="371">
        <f t="shared" si="18"/>
        <v>0</v>
      </c>
      <c r="Q169" s="371"/>
      <c r="R169" s="372"/>
      <c r="S169" s="372"/>
      <c r="T169" s="372"/>
      <c r="U169" s="372"/>
      <c r="V169" s="372"/>
      <c r="W169" s="372"/>
      <c r="X169" s="372"/>
      <c r="Y169" s="372"/>
      <c r="Z169" s="372"/>
      <c r="AA169" s="372"/>
      <c r="AB169" s="372"/>
      <c r="AC169" s="372"/>
      <c r="AD169" s="372"/>
      <c r="AE169" s="372"/>
      <c r="AF169" s="372"/>
      <c r="AG169" s="372"/>
      <c r="AH169" s="372"/>
      <c r="AI169" s="372"/>
      <c r="AJ169" s="372"/>
      <c r="AK169" s="372"/>
      <c r="AL169" s="372"/>
      <c r="AM169" s="372"/>
      <c r="AN169" s="372"/>
      <c r="AO169" s="372"/>
      <c r="AP169" s="372"/>
      <c r="AQ169" s="372"/>
      <c r="AR169" s="372"/>
      <c r="AS169" s="372"/>
      <c r="AT169" s="372"/>
    </row>
    <row r="170" spans="3:46" ht="15.75">
      <c r="C170" s="372"/>
      <c r="D170" s="372"/>
      <c r="E170" s="372"/>
      <c r="F170" s="372"/>
      <c r="G170" s="372"/>
      <c r="H170" s="372"/>
      <c r="I170" s="372"/>
      <c r="J170" s="372"/>
      <c r="K170" s="372"/>
      <c r="L170" s="372"/>
      <c r="M170" s="372"/>
      <c r="N170" s="372"/>
      <c r="O170" s="372"/>
      <c r="P170" s="371">
        <f t="shared" si="18"/>
        <v>0</v>
      </c>
      <c r="Q170" s="371"/>
      <c r="R170" s="372"/>
      <c r="S170" s="372"/>
      <c r="T170" s="372"/>
      <c r="U170" s="372"/>
      <c r="V170" s="372"/>
      <c r="W170" s="372"/>
      <c r="X170" s="372"/>
      <c r="Y170" s="372"/>
      <c r="Z170" s="372"/>
      <c r="AA170" s="372"/>
      <c r="AB170" s="372"/>
      <c r="AC170" s="372"/>
      <c r="AD170" s="372"/>
      <c r="AE170" s="372"/>
      <c r="AF170" s="372"/>
      <c r="AG170" s="372"/>
      <c r="AH170" s="372"/>
      <c r="AI170" s="372"/>
      <c r="AJ170" s="372"/>
      <c r="AK170" s="372"/>
      <c r="AL170" s="372"/>
      <c r="AM170" s="372"/>
      <c r="AN170" s="372"/>
      <c r="AO170" s="372"/>
      <c r="AP170" s="372"/>
      <c r="AQ170" s="372"/>
      <c r="AR170" s="372"/>
      <c r="AS170" s="372"/>
      <c r="AT170" s="372"/>
    </row>
    <row r="171" spans="3:46" ht="15.75">
      <c r="C171" s="372"/>
      <c r="D171" s="372"/>
      <c r="E171" s="372"/>
      <c r="F171" s="372"/>
      <c r="G171" s="372"/>
      <c r="H171" s="372"/>
      <c r="I171" s="372"/>
      <c r="J171" s="372"/>
      <c r="K171" s="372"/>
      <c r="L171" s="372"/>
      <c r="M171" s="372"/>
      <c r="N171" s="372"/>
      <c r="O171" s="372"/>
      <c r="P171" s="371">
        <f t="shared" si="18"/>
        <v>0</v>
      </c>
      <c r="Q171" s="371"/>
      <c r="R171" s="372"/>
      <c r="S171" s="372"/>
      <c r="T171" s="372"/>
      <c r="U171" s="372"/>
      <c r="V171" s="372"/>
      <c r="W171" s="372"/>
      <c r="X171" s="372"/>
      <c r="Y171" s="372"/>
      <c r="Z171" s="372"/>
      <c r="AA171" s="372"/>
      <c r="AB171" s="372"/>
      <c r="AC171" s="372"/>
      <c r="AD171" s="372"/>
      <c r="AE171" s="372"/>
      <c r="AF171" s="372"/>
      <c r="AG171" s="372"/>
      <c r="AH171" s="372"/>
      <c r="AI171" s="372"/>
      <c r="AJ171" s="372"/>
      <c r="AK171" s="372"/>
      <c r="AL171" s="372"/>
      <c r="AM171" s="372"/>
      <c r="AN171" s="372"/>
      <c r="AO171" s="372"/>
      <c r="AP171" s="372"/>
      <c r="AQ171" s="372"/>
      <c r="AR171" s="372"/>
      <c r="AS171" s="372"/>
      <c r="AT171" s="372"/>
    </row>
    <row r="172" spans="3:46" ht="15.75">
      <c r="C172" s="372"/>
      <c r="D172" s="372"/>
      <c r="E172" s="372"/>
      <c r="F172" s="372"/>
      <c r="G172" s="372"/>
      <c r="H172" s="372"/>
      <c r="I172" s="372"/>
      <c r="J172" s="372"/>
      <c r="K172" s="372"/>
      <c r="L172" s="372"/>
      <c r="M172" s="372"/>
      <c r="N172" s="372"/>
      <c r="O172" s="372"/>
      <c r="P172" s="371">
        <f t="shared" si="18"/>
        <v>0</v>
      </c>
      <c r="Q172" s="371"/>
      <c r="R172" s="372"/>
      <c r="S172" s="372"/>
      <c r="T172" s="372"/>
      <c r="U172" s="372"/>
      <c r="V172" s="372"/>
      <c r="W172" s="372"/>
      <c r="X172" s="372"/>
      <c r="Y172" s="372"/>
      <c r="Z172" s="372"/>
      <c r="AA172" s="372"/>
      <c r="AB172" s="372"/>
      <c r="AC172" s="372"/>
      <c r="AD172" s="372"/>
      <c r="AE172" s="372"/>
      <c r="AF172" s="372"/>
      <c r="AG172" s="372"/>
      <c r="AH172" s="372"/>
      <c r="AI172" s="372"/>
      <c r="AJ172" s="372"/>
      <c r="AK172" s="372"/>
      <c r="AL172" s="372"/>
      <c r="AM172" s="372"/>
      <c r="AN172" s="372"/>
      <c r="AO172" s="372"/>
      <c r="AP172" s="372"/>
      <c r="AQ172" s="372"/>
      <c r="AR172" s="372"/>
      <c r="AS172" s="372"/>
      <c r="AT172" s="372"/>
    </row>
    <row r="173" spans="3:46" ht="15.75">
      <c r="C173" s="372"/>
      <c r="D173" s="372"/>
      <c r="E173" s="372"/>
      <c r="F173" s="372"/>
      <c r="G173" s="372"/>
      <c r="H173" s="372"/>
      <c r="I173" s="372"/>
      <c r="J173" s="372"/>
      <c r="K173" s="372"/>
      <c r="L173" s="372"/>
      <c r="M173" s="372"/>
      <c r="N173" s="372"/>
      <c r="O173" s="372"/>
      <c r="P173" s="371">
        <f t="shared" si="18"/>
        <v>0</v>
      </c>
      <c r="Q173" s="371"/>
      <c r="R173" s="372"/>
      <c r="S173" s="372"/>
      <c r="T173" s="372"/>
      <c r="U173" s="372"/>
      <c r="V173" s="372"/>
      <c r="W173" s="372"/>
      <c r="X173" s="372"/>
      <c r="Y173" s="372"/>
      <c r="Z173" s="372"/>
      <c r="AA173" s="372"/>
      <c r="AB173" s="372"/>
      <c r="AC173" s="372"/>
      <c r="AD173" s="372"/>
      <c r="AE173" s="372"/>
      <c r="AF173" s="372"/>
      <c r="AG173" s="372"/>
      <c r="AH173" s="372"/>
      <c r="AI173" s="372"/>
      <c r="AJ173" s="372"/>
      <c r="AK173" s="372"/>
      <c r="AL173" s="372"/>
      <c r="AM173" s="372"/>
      <c r="AN173" s="372"/>
      <c r="AO173" s="372"/>
      <c r="AP173" s="372"/>
      <c r="AQ173" s="372"/>
      <c r="AR173" s="372"/>
      <c r="AS173" s="372"/>
      <c r="AT173" s="372"/>
    </row>
    <row r="174" spans="3:46" ht="15.75">
      <c r="C174" s="372"/>
      <c r="D174" s="372"/>
      <c r="E174" s="372"/>
      <c r="F174" s="372"/>
      <c r="G174" s="372"/>
      <c r="H174" s="372"/>
      <c r="I174" s="372"/>
      <c r="J174" s="372"/>
      <c r="K174" s="372"/>
      <c r="L174" s="372"/>
      <c r="M174" s="372"/>
      <c r="N174" s="372"/>
      <c r="O174" s="372"/>
      <c r="P174" s="371">
        <f t="shared" si="18"/>
        <v>0</v>
      </c>
      <c r="Q174" s="371"/>
      <c r="R174" s="372"/>
      <c r="S174" s="372"/>
      <c r="T174" s="372"/>
      <c r="U174" s="372"/>
      <c r="V174" s="372"/>
      <c r="W174" s="372"/>
      <c r="X174" s="372"/>
      <c r="Y174" s="372"/>
      <c r="Z174" s="372"/>
      <c r="AA174" s="372"/>
      <c r="AB174" s="372"/>
      <c r="AC174" s="372"/>
      <c r="AD174" s="372"/>
      <c r="AE174" s="372"/>
      <c r="AF174" s="372"/>
      <c r="AG174" s="372"/>
      <c r="AH174" s="372"/>
      <c r="AI174" s="372"/>
      <c r="AJ174" s="372"/>
      <c r="AK174" s="372"/>
      <c r="AL174" s="372"/>
      <c r="AM174" s="372"/>
      <c r="AN174" s="372"/>
      <c r="AO174" s="372"/>
      <c r="AP174" s="372"/>
      <c r="AQ174" s="372"/>
      <c r="AR174" s="372"/>
      <c r="AS174" s="372"/>
      <c r="AT174" s="372"/>
    </row>
    <row r="175" spans="3:46" ht="15.75">
      <c r="C175" s="372"/>
      <c r="D175" s="372"/>
      <c r="E175" s="372"/>
      <c r="F175" s="372"/>
      <c r="G175" s="372"/>
      <c r="H175" s="372"/>
      <c r="I175" s="372"/>
      <c r="J175" s="372"/>
      <c r="K175" s="372"/>
      <c r="L175" s="372"/>
      <c r="M175" s="372"/>
      <c r="N175" s="372"/>
      <c r="O175" s="372"/>
      <c r="P175" s="371">
        <f t="shared" si="18"/>
        <v>0</v>
      </c>
      <c r="Q175" s="371"/>
      <c r="R175" s="372"/>
      <c r="S175" s="372"/>
      <c r="T175" s="372"/>
      <c r="U175" s="372"/>
      <c r="V175" s="372"/>
      <c r="W175" s="372"/>
      <c r="X175" s="372"/>
      <c r="Y175" s="372"/>
      <c r="Z175" s="372"/>
      <c r="AA175" s="372"/>
      <c r="AB175" s="372"/>
      <c r="AC175" s="372"/>
      <c r="AD175" s="372"/>
      <c r="AE175" s="372"/>
      <c r="AF175" s="372"/>
      <c r="AG175" s="372"/>
      <c r="AH175" s="372"/>
      <c r="AI175" s="372"/>
      <c r="AJ175" s="372"/>
      <c r="AK175" s="372"/>
      <c r="AL175" s="372"/>
      <c r="AM175" s="372"/>
      <c r="AN175" s="372"/>
      <c r="AO175" s="372"/>
      <c r="AP175" s="372"/>
      <c r="AQ175" s="372"/>
      <c r="AR175" s="372"/>
      <c r="AS175" s="372"/>
      <c r="AT175" s="372"/>
    </row>
    <row r="176" spans="3:46" ht="15.75">
      <c r="C176" s="372"/>
      <c r="D176" s="372"/>
      <c r="E176" s="372"/>
      <c r="F176" s="372"/>
      <c r="G176" s="372"/>
      <c r="H176" s="372"/>
      <c r="I176" s="372"/>
      <c r="J176" s="372"/>
      <c r="K176" s="372"/>
      <c r="L176" s="372"/>
      <c r="M176" s="372"/>
      <c r="N176" s="372"/>
      <c r="O176" s="372"/>
      <c r="P176" s="371">
        <f t="shared" si="18"/>
        <v>0</v>
      </c>
      <c r="Q176" s="371"/>
      <c r="R176" s="372"/>
      <c r="S176" s="372"/>
      <c r="T176" s="372"/>
      <c r="U176" s="372"/>
      <c r="V176" s="372"/>
      <c r="W176" s="372"/>
      <c r="X176" s="372"/>
      <c r="Y176" s="372"/>
      <c r="Z176" s="372"/>
      <c r="AA176" s="372"/>
      <c r="AB176" s="372"/>
      <c r="AC176" s="372"/>
      <c r="AD176" s="372"/>
      <c r="AE176" s="372"/>
      <c r="AF176" s="372"/>
      <c r="AG176" s="372"/>
      <c r="AH176" s="372"/>
      <c r="AI176" s="372"/>
      <c r="AJ176" s="372"/>
      <c r="AK176" s="372"/>
      <c r="AL176" s="372"/>
      <c r="AM176" s="372"/>
      <c r="AN176" s="372"/>
      <c r="AO176" s="372"/>
      <c r="AP176" s="372"/>
      <c r="AQ176" s="372"/>
      <c r="AR176" s="372"/>
      <c r="AS176" s="372"/>
      <c r="AT176" s="372"/>
    </row>
    <row r="177" spans="3:46" ht="15.75">
      <c r="C177" s="372"/>
      <c r="D177" s="372"/>
      <c r="E177" s="372"/>
      <c r="F177" s="372"/>
      <c r="G177" s="372"/>
      <c r="H177" s="372"/>
      <c r="I177" s="372"/>
      <c r="J177" s="372"/>
      <c r="K177" s="372"/>
      <c r="L177" s="372"/>
      <c r="M177" s="372"/>
      <c r="N177" s="372"/>
      <c r="O177" s="372"/>
      <c r="P177" s="371">
        <f t="shared" si="18"/>
        <v>0</v>
      </c>
      <c r="Q177" s="371"/>
      <c r="R177" s="372"/>
      <c r="S177" s="372"/>
      <c r="T177" s="372"/>
      <c r="U177" s="372"/>
      <c r="V177" s="372"/>
      <c r="W177" s="372"/>
      <c r="X177" s="372"/>
      <c r="Y177" s="372"/>
      <c r="Z177" s="372"/>
      <c r="AA177" s="372"/>
      <c r="AB177" s="372"/>
      <c r="AC177" s="372"/>
      <c r="AD177" s="372"/>
      <c r="AE177" s="372"/>
      <c r="AF177" s="372"/>
      <c r="AG177" s="372"/>
      <c r="AH177" s="372"/>
      <c r="AI177" s="372"/>
      <c r="AJ177" s="372"/>
      <c r="AK177" s="372"/>
      <c r="AL177" s="372"/>
      <c r="AM177" s="372"/>
      <c r="AN177" s="372"/>
      <c r="AO177" s="372"/>
      <c r="AP177" s="372"/>
      <c r="AQ177" s="372"/>
      <c r="AR177" s="372"/>
      <c r="AS177" s="372"/>
      <c r="AT177" s="372"/>
    </row>
    <row r="178" spans="3:46" ht="15.75">
      <c r="C178" s="372"/>
      <c r="D178" s="372"/>
      <c r="E178" s="372"/>
      <c r="F178" s="372"/>
      <c r="G178" s="372"/>
      <c r="H178" s="372"/>
      <c r="I178" s="372"/>
      <c r="J178" s="372"/>
      <c r="K178" s="372"/>
      <c r="L178" s="372"/>
      <c r="M178" s="372"/>
      <c r="N178" s="372"/>
      <c r="O178" s="372"/>
      <c r="P178" s="371">
        <f t="shared" si="18"/>
        <v>0</v>
      </c>
      <c r="Q178" s="371"/>
      <c r="R178" s="372"/>
      <c r="S178" s="372"/>
      <c r="T178" s="372"/>
      <c r="U178" s="372"/>
      <c r="V178" s="372"/>
      <c r="W178" s="372"/>
      <c r="X178" s="372"/>
      <c r="Y178" s="372"/>
      <c r="Z178" s="372"/>
      <c r="AA178" s="372"/>
      <c r="AB178" s="372"/>
      <c r="AC178" s="372"/>
      <c r="AD178" s="372"/>
      <c r="AE178" s="372"/>
      <c r="AF178" s="372"/>
      <c r="AG178" s="372"/>
      <c r="AH178" s="372"/>
      <c r="AI178" s="372"/>
      <c r="AJ178" s="372"/>
      <c r="AK178" s="372"/>
      <c r="AL178" s="372"/>
      <c r="AM178" s="372"/>
      <c r="AN178" s="372"/>
      <c r="AO178" s="372"/>
      <c r="AP178" s="372"/>
      <c r="AQ178" s="372"/>
      <c r="AR178" s="372"/>
      <c r="AS178" s="372"/>
      <c r="AT178" s="372"/>
    </row>
    <row r="179" spans="3:46" ht="15.75">
      <c r="C179" s="372"/>
      <c r="D179" s="372"/>
      <c r="E179" s="372"/>
      <c r="F179" s="372"/>
      <c r="G179" s="372"/>
      <c r="H179" s="372"/>
      <c r="I179" s="372"/>
      <c r="J179" s="372"/>
      <c r="K179" s="372"/>
      <c r="L179" s="372"/>
      <c r="M179" s="372"/>
      <c r="N179" s="372"/>
      <c r="O179" s="372"/>
      <c r="P179" s="371">
        <f t="shared" si="18"/>
        <v>0</v>
      </c>
      <c r="Q179" s="371"/>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c r="AP179" s="372"/>
      <c r="AQ179" s="372"/>
      <c r="AR179" s="372"/>
      <c r="AS179" s="372"/>
      <c r="AT179" s="372"/>
    </row>
    <row r="180" spans="3:46" ht="15.75">
      <c r="C180" s="372"/>
      <c r="D180" s="372"/>
      <c r="E180" s="372"/>
      <c r="F180" s="372"/>
      <c r="G180" s="372"/>
      <c r="H180" s="372"/>
      <c r="I180" s="372"/>
      <c r="J180" s="372"/>
      <c r="K180" s="372"/>
      <c r="L180" s="372"/>
      <c r="M180" s="372"/>
      <c r="N180" s="372"/>
      <c r="O180" s="372"/>
      <c r="P180" s="371">
        <f t="shared" si="18"/>
        <v>0</v>
      </c>
      <c r="Q180" s="371"/>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row>
    <row r="181" spans="3:46" ht="15.75">
      <c r="C181" s="372"/>
      <c r="D181" s="372"/>
      <c r="E181" s="372"/>
      <c r="F181" s="372"/>
      <c r="G181" s="372"/>
      <c r="H181" s="372"/>
      <c r="I181" s="372"/>
      <c r="J181" s="372"/>
      <c r="K181" s="372"/>
      <c r="L181" s="372"/>
      <c r="M181" s="372"/>
      <c r="N181" s="372"/>
      <c r="O181" s="372"/>
      <c r="P181" s="371">
        <f aca="true" t="shared" si="19" ref="P181:P202">SUM(D181:O181)</f>
        <v>0</v>
      </c>
      <c r="Q181" s="371"/>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72"/>
      <c r="AR181" s="372"/>
      <c r="AS181" s="372"/>
      <c r="AT181" s="372"/>
    </row>
    <row r="182" spans="3:46" ht="15.75">
      <c r="C182" s="372"/>
      <c r="D182" s="372"/>
      <c r="E182" s="372"/>
      <c r="F182" s="372"/>
      <c r="G182" s="372"/>
      <c r="H182" s="372"/>
      <c r="I182" s="372"/>
      <c r="J182" s="372"/>
      <c r="K182" s="372"/>
      <c r="L182" s="372"/>
      <c r="M182" s="372"/>
      <c r="N182" s="372"/>
      <c r="O182" s="372"/>
      <c r="P182" s="371">
        <f t="shared" si="19"/>
        <v>0</v>
      </c>
      <c r="Q182" s="371"/>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row>
    <row r="183" spans="3:46" ht="15.75">
      <c r="C183" s="372"/>
      <c r="D183" s="372"/>
      <c r="E183" s="372"/>
      <c r="F183" s="372"/>
      <c r="G183" s="372"/>
      <c r="H183" s="372"/>
      <c r="I183" s="372"/>
      <c r="J183" s="372"/>
      <c r="K183" s="372"/>
      <c r="L183" s="372"/>
      <c r="M183" s="372"/>
      <c r="N183" s="372"/>
      <c r="O183" s="372"/>
      <c r="P183" s="371">
        <f t="shared" si="19"/>
        <v>0</v>
      </c>
      <c r="Q183" s="371"/>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row>
    <row r="184" spans="3:46" ht="15.75">
      <c r="C184" s="372"/>
      <c r="D184" s="372"/>
      <c r="E184" s="372"/>
      <c r="F184" s="372"/>
      <c r="G184" s="372"/>
      <c r="H184" s="372"/>
      <c r="I184" s="372"/>
      <c r="J184" s="372"/>
      <c r="K184" s="372"/>
      <c r="L184" s="372"/>
      <c r="M184" s="372"/>
      <c r="N184" s="372"/>
      <c r="O184" s="372"/>
      <c r="P184" s="371">
        <f t="shared" si="19"/>
        <v>0</v>
      </c>
      <c r="Q184" s="371"/>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row>
    <row r="185" spans="3:46" ht="15.75">
      <c r="C185" s="372"/>
      <c r="D185" s="372"/>
      <c r="E185" s="372"/>
      <c r="F185" s="372"/>
      <c r="G185" s="372"/>
      <c r="H185" s="372"/>
      <c r="I185" s="372"/>
      <c r="J185" s="372"/>
      <c r="K185" s="372"/>
      <c r="L185" s="372"/>
      <c r="M185" s="372"/>
      <c r="N185" s="372"/>
      <c r="O185" s="372"/>
      <c r="P185" s="371">
        <f t="shared" si="19"/>
        <v>0</v>
      </c>
      <c r="Q185" s="371"/>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c r="AP185" s="372"/>
      <c r="AQ185" s="372"/>
      <c r="AR185" s="372"/>
      <c r="AS185" s="372"/>
      <c r="AT185" s="372"/>
    </row>
    <row r="186" spans="3:46" ht="15.75">
      <c r="C186" s="372"/>
      <c r="D186" s="372"/>
      <c r="E186" s="372"/>
      <c r="F186" s="372"/>
      <c r="G186" s="372"/>
      <c r="H186" s="372"/>
      <c r="I186" s="372"/>
      <c r="J186" s="372"/>
      <c r="K186" s="372"/>
      <c r="L186" s="372"/>
      <c r="M186" s="372"/>
      <c r="N186" s="372"/>
      <c r="O186" s="372"/>
      <c r="P186" s="371">
        <f t="shared" si="19"/>
        <v>0</v>
      </c>
      <c r="Q186" s="371"/>
      <c r="R186" s="372"/>
      <c r="S186" s="372"/>
      <c r="T186" s="372"/>
      <c r="U186" s="372"/>
      <c r="V186" s="372"/>
      <c r="W186" s="372"/>
      <c r="X186" s="372"/>
      <c r="Y186" s="372"/>
      <c r="Z186" s="372"/>
      <c r="AA186" s="372"/>
      <c r="AB186" s="372"/>
      <c r="AC186" s="372"/>
      <c r="AD186" s="372"/>
      <c r="AE186" s="372"/>
      <c r="AF186" s="372"/>
      <c r="AG186" s="372"/>
      <c r="AH186" s="372"/>
      <c r="AI186" s="372"/>
      <c r="AJ186" s="372"/>
      <c r="AK186" s="372"/>
      <c r="AL186" s="372"/>
      <c r="AM186" s="372"/>
      <c r="AN186" s="372"/>
      <c r="AO186" s="372"/>
      <c r="AP186" s="372"/>
      <c r="AQ186" s="372"/>
      <c r="AR186" s="372"/>
      <c r="AS186" s="372"/>
      <c r="AT186" s="372"/>
    </row>
    <row r="187" spans="3:46" ht="15.75">
      <c r="C187" s="372"/>
      <c r="D187" s="372"/>
      <c r="E187" s="372"/>
      <c r="F187" s="372"/>
      <c r="G187" s="372"/>
      <c r="H187" s="372"/>
      <c r="I187" s="372"/>
      <c r="J187" s="372"/>
      <c r="K187" s="372"/>
      <c r="L187" s="372"/>
      <c r="M187" s="372"/>
      <c r="N187" s="372"/>
      <c r="O187" s="372"/>
      <c r="P187" s="371">
        <f t="shared" si="19"/>
        <v>0</v>
      </c>
      <c r="Q187" s="371"/>
      <c r="R187" s="372"/>
      <c r="S187" s="372"/>
      <c r="T187" s="372"/>
      <c r="U187" s="372"/>
      <c r="V187" s="372"/>
      <c r="W187" s="372"/>
      <c r="X187" s="372"/>
      <c r="Y187" s="372"/>
      <c r="Z187" s="372"/>
      <c r="AA187" s="372"/>
      <c r="AB187" s="372"/>
      <c r="AC187" s="372"/>
      <c r="AD187" s="372"/>
      <c r="AE187" s="372"/>
      <c r="AF187" s="372"/>
      <c r="AG187" s="372"/>
      <c r="AH187" s="372"/>
      <c r="AI187" s="372"/>
      <c r="AJ187" s="372"/>
      <c r="AK187" s="372"/>
      <c r="AL187" s="372"/>
      <c r="AM187" s="372"/>
      <c r="AN187" s="372"/>
      <c r="AO187" s="372"/>
      <c r="AP187" s="372"/>
      <c r="AQ187" s="372"/>
      <c r="AR187" s="372"/>
      <c r="AS187" s="372"/>
      <c r="AT187" s="372"/>
    </row>
    <row r="188" spans="3:46" ht="15.75">
      <c r="C188" s="372"/>
      <c r="D188" s="372"/>
      <c r="E188" s="372"/>
      <c r="F188" s="372"/>
      <c r="G188" s="372"/>
      <c r="H188" s="372"/>
      <c r="I188" s="372"/>
      <c r="J188" s="372"/>
      <c r="K188" s="372"/>
      <c r="L188" s="372"/>
      <c r="M188" s="372"/>
      <c r="N188" s="372"/>
      <c r="O188" s="372"/>
      <c r="P188" s="371">
        <f t="shared" si="19"/>
        <v>0</v>
      </c>
      <c r="Q188" s="371"/>
      <c r="R188" s="372"/>
      <c r="S188" s="372"/>
      <c r="T188" s="372"/>
      <c r="U188" s="372"/>
      <c r="V188" s="372"/>
      <c r="W188" s="372"/>
      <c r="X188" s="372"/>
      <c r="Y188" s="372"/>
      <c r="Z188" s="372"/>
      <c r="AA188" s="372"/>
      <c r="AB188" s="372"/>
      <c r="AC188" s="372"/>
      <c r="AD188" s="372"/>
      <c r="AE188" s="372"/>
      <c r="AF188" s="372"/>
      <c r="AG188" s="372"/>
      <c r="AH188" s="372"/>
      <c r="AI188" s="372"/>
      <c r="AJ188" s="372"/>
      <c r="AK188" s="372"/>
      <c r="AL188" s="372"/>
      <c r="AM188" s="372"/>
      <c r="AN188" s="372"/>
      <c r="AO188" s="372"/>
      <c r="AP188" s="372"/>
      <c r="AQ188" s="372"/>
      <c r="AR188" s="372"/>
      <c r="AS188" s="372"/>
      <c r="AT188" s="372"/>
    </row>
    <row r="189" spans="3:46" ht="15.75">
      <c r="C189" s="372"/>
      <c r="D189" s="372"/>
      <c r="E189" s="372"/>
      <c r="F189" s="372"/>
      <c r="G189" s="372"/>
      <c r="H189" s="372"/>
      <c r="I189" s="372"/>
      <c r="J189" s="372"/>
      <c r="K189" s="372"/>
      <c r="L189" s="372"/>
      <c r="M189" s="372"/>
      <c r="N189" s="372"/>
      <c r="O189" s="372"/>
      <c r="P189" s="371">
        <f t="shared" si="19"/>
        <v>0</v>
      </c>
      <c r="Q189" s="371"/>
      <c r="R189" s="372"/>
      <c r="S189" s="372"/>
      <c r="T189" s="372"/>
      <c r="U189" s="372"/>
      <c r="V189" s="372"/>
      <c r="W189" s="372"/>
      <c r="X189" s="372"/>
      <c r="Y189" s="372"/>
      <c r="Z189" s="372"/>
      <c r="AA189" s="372"/>
      <c r="AB189" s="372"/>
      <c r="AC189" s="372"/>
      <c r="AD189" s="372"/>
      <c r="AE189" s="372"/>
      <c r="AF189" s="372"/>
      <c r="AG189" s="372"/>
      <c r="AH189" s="372"/>
      <c r="AI189" s="372"/>
      <c r="AJ189" s="372"/>
      <c r="AK189" s="372"/>
      <c r="AL189" s="372"/>
      <c r="AM189" s="372"/>
      <c r="AN189" s="372"/>
      <c r="AO189" s="372"/>
      <c r="AP189" s="372"/>
      <c r="AQ189" s="372"/>
      <c r="AR189" s="372"/>
      <c r="AS189" s="372"/>
      <c r="AT189" s="372"/>
    </row>
    <row r="190" spans="3:46" ht="15.75">
      <c r="C190" s="372"/>
      <c r="D190" s="372"/>
      <c r="E190" s="372"/>
      <c r="F190" s="372"/>
      <c r="G190" s="372"/>
      <c r="H190" s="372"/>
      <c r="I190" s="372"/>
      <c r="J190" s="372"/>
      <c r="K190" s="372"/>
      <c r="L190" s="372"/>
      <c r="M190" s="372"/>
      <c r="N190" s="372"/>
      <c r="O190" s="372"/>
      <c r="P190" s="371">
        <f t="shared" si="19"/>
        <v>0</v>
      </c>
      <c r="Q190" s="371"/>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row>
    <row r="191" spans="3:46" ht="15.75">
      <c r="C191" s="372"/>
      <c r="D191" s="372"/>
      <c r="E191" s="372"/>
      <c r="F191" s="372"/>
      <c r="G191" s="372"/>
      <c r="H191" s="372"/>
      <c r="I191" s="372"/>
      <c r="J191" s="372"/>
      <c r="K191" s="372"/>
      <c r="L191" s="372"/>
      <c r="M191" s="372"/>
      <c r="N191" s="372"/>
      <c r="O191" s="372"/>
      <c r="P191" s="371">
        <f t="shared" si="19"/>
        <v>0</v>
      </c>
      <c r="Q191" s="371"/>
      <c r="R191" s="372"/>
      <c r="S191" s="372"/>
      <c r="T191" s="372"/>
      <c r="U191" s="372"/>
      <c r="V191" s="372"/>
      <c r="W191" s="372"/>
      <c r="X191" s="372"/>
      <c r="Y191" s="372"/>
      <c r="Z191" s="372"/>
      <c r="AA191" s="372"/>
      <c r="AB191" s="372"/>
      <c r="AC191" s="372"/>
      <c r="AD191" s="372"/>
      <c r="AE191" s="372"/>
      <c r="AF191" s="372"/>
      <c r="AG191" s="372"/>
      <c r="AH191" s="372"/>
      <c r="AI191" s="372"/>
      <c r="AJ191" s="372"/>
      <c r="AK191" s="372"/>
      <c r="AL191" s="372"/>
      <c r="AM191" s="372"/>
      <c r="AN191" s="372"/>
      <c r="AO191" s="372"/>
      <c r="AP191" s="372"/>
      <c r="AQ191" s="372"/>
      <c r="AR191" s="372"/>
      <c r="AS191" s="372"/>
      <c r="AT191" s="372"/>
    </row>
    <row r="192" spans="3:46" ht="15.75">
      <c r="C192" s="372"/>
      <c r="D192" s="372"/>
      <c r="E192" s="372"/>
      <c r="F192" s="372"/>
      <c r="G192" s="372"/>
      <c r="H192" s="372"/>
      <c r="I192" s="372"/>
      <c r="J192" s="372"/>
      <c r="K192" s="372"/>
      <c r="L192" s="372"/>
      <c r="M192" s="372"/>
      <c r="N192" s="372"/>
      <c r="O192" s="372"/>
      <c r="P192" s="371">
        <f t="shared" si="19"/>
        <v>0</v>
      </c>
      <c r="Q192" s="371"/>
      <c r="R192" s="372"/>
      <c r="S192" s="372"/>
      <c r="T192" s="372"/>
      <c r="U192" s="372"/>
      <c r="V192" s="372"/>
      <c r="W192" s="372"/>
      <c r="X192" s="372"/>
      <c r="Y192" s="372"/>
      <c r="Z192" s="372"/>
      <c r="AA192" s="372"/>
      <c r="AB192" s="372"/>
      <c r="AC192" s="372"/>
      <c r="AD192" s="372"/>
      <c r="AE192" s="372"/>
      <c r="AF192" s="372"/>
      <c r="AG192" s="372"/>
      <c r="AH192" s="372"/>
      <c r="AI192" s="372"/>
      <c r="AJ192" s="372"/>
      <c r="AK192" s="372"/>
      <c r="AL192" s="372"/>
      <c r="AM192" s="372"/>
      <c r="AN192" s="372"/>
      <c r="AO192" s="372"/>
      <c r="AP192" s="372"/>
      <c r="AQ192" s="372"/>
      <c r="AR192" s="372"/>
      <c r="AS192" s="372"/>
      <c r="AT192" s="372"/>
    </row>
    <row r="193" spans="3:46" ht="15.75">
      <c r="C193" s="372"/>
      <c r="D193" s="372"/>
      <c r="E193" s="372"/>
      <c r="F193" s="372"/>
      <c r="G193" s="372"/>
      <c r="H193" s="372"/>
      <c r="I193" s="372"/>
      <c r="J193" s="372"/>
      <c r="K193" s="372"/>
      <c r="L193" s="372"/>
      <c r="M193" s="372"/>
      <c r="N193" s="372"/>
      <c r="O193" s="372"/>
      <c r="P193" s="371">
        <f t="shared" si="19"/>
        <v>0</v>
      </c>
      <c r="Q193" s="371"/>
      <c r="R193" s="372"/>
      <c r="S193" s="372"/>
      <c r="T193" s="372"/>
      <c r="U193" s="372"/>
      <c r="V193" s="372"/>
      <c r="W193" s="372"/>
      <c r="X193" s="372"/>
      <c r="Y193" s="372"/>
      <c r="Z193" s="372"/>
      <c r="AA193" s="372"/>
      <c r="AB193" s="372"/>
      <c r="AC193" s="372"/>
      <c r="AD193" s="372"/>
      <c r="AE193" s="372"/>
      <c r="AF193" s="372"/>
      <c r="AG193" s="372"/>
      <c r="AH193" s="372"/>
      <c r="AI193" s="372"/>
      <c r="AJ193" s="372"/>
      <c r="AK193" s="372"/>
      <c r="AL193" s="372"/>
      <c r="AM193" s="372"/>
      <c r="AN193" s="372"/>
      <c r="AO193" s="372"/>
      <c r="AP193" s="372"/>
      <c r="AQ193" s="372"/>
      <c r="AR193" s="372"/>
      <c r="AS193" s="372"/>
      <c r="AT193" s="372"/>
    </row>
    <row r="194" spans="3:46" ht="15.75">
      <c r="C194" s="372"/>
      <c r="D194" s="372"/>
      <c r="E194" s="372"/>
      <c r="F194" s="372"/>
      <c r="G194" s="372"/>
      <c r="H194" s="372"/>
      <c r="I194" s="372"/>
      <c r="J194" s="372"/>
      <c r="K194" s="372"/>
      <c r="L194" s="372"/>
      <c r="M194" s="372"/>
      <c r="N194" s="372"/>
      <c r="O194" s="372"/>
      <c r="P194" s="371">
        <f t="shared" si="19"/>
        <v>0</v>
      </c>
      <c r="Q194" s="371"/>
      <c r="R194" s="372"/>
      <c r="S194" s="372"/>
      <c r="T194" s="372"/>
      <c r="U194" s="372"/>
      <c r="V194" s="372"/>
      <c r="W194" s="372"/>
      <c r="X194" s="372"/>
      <c r="Y194" s="372"/>
      <c r="Z194" s="372"/>
      <c r="AA194" s="372"/>
      <c r="AB194" s="372"/>
      <c r="AC194" s="372"/>
      <c r="AD194" s="372"/>
      <c r="AE194" s="372"/>
      <c r="AF194" s="372"/>
      <c r="AG194" s="372"/>
      <c r="AH194" s="372"/>
      <c r="AI194" s="372"/>
      <c r="AJ194" s="372"/>
      <c r="AK194" s="372"/>
      <c r="AL194" s="372"/>
      <c r="AM194" s="372"/>
      <c r="AN194" s="372"/>
      <c r="AO194" s="372"/>
      <c r="AP194" s="372"/>
      <c r="AQ194" s="372"/>
      <c r="AR194" s="372"/>
      <c r="AS194" s="372"/>
      <c r="AT194" s="372"/>
    </row>
    <row r="195" spans="3:46" ht="15.75">
      <c r="C195" s="372"/>
      <c r="D195" s="372"/>
      <c r="E195" s="372"/>
      <c r="F195" s="372"/>
      <c r="G195" s="372"/>
      <c r="H195" s="372"/>
      <c r="I195" s="372"/>
      <c r="J195" s="372"/>
      <c r="K195" s="372"/>
      <c r="L195" s="372"/>
      <c r="M195" s="372"/>
      <c r="N195" s="372"/>
      <c r="O195" s="372"/>
      <c r="P195" s="371">
        <f t="shared" si="19"/>
        <v>0</v>
      </c>
      <c r="Q195" s="371"/>
      <c r="R195" s="372"/>
      <c r="S195" s="372"/>
      <c r="T195" s="372"/>
      <c r="U195" s="372"/>
      <c r="V195" s="372"/>
      <c r="W195" s="372"/>
      <c r="X195" s="372"/>
      <c r="Y195" s="372"/>
      <c r="Z195" s="372"/>
      <c r="AA195" s="372"/>
      <c r="AB195" s="372"/>
      <c r="AC195" s="372"/>
      <c r="AD195" s="372"/>
      <c r="AE195" s="372"/>
      <c r="AF195" s="372"/>
      <c r="AG195" s="372"/>
      <c r="AH195" s="372"/>
      <c r="AI195" s="372"/>
      <c r="AJ195" s="372"/>
      <c r="AK195" s="372"/>
      <c r="AL195" s="372"/>
      <c r="AM195" s="372"/>
      <c r="AN195" s="372"/>
      <c r="AO195" s="372"/>
      <c r="AP195" s="372"/>
      <c r="AQ195" s="372"/>
      <c r="AR195" s="372"/>
      <c r="AS195" s="372"/>
      <c r="AT195" s="372"/>
    </row>
    <row r="196" spans="3:46" ht="15.75">
      <c r="C196" s="372"/>
      <c r="D196" s="372"/>
      <c r="E196" s="372"/>
      <c r="F196" s="372"/>
      <c r="G196" s="372"/>
      <c r="H196" s="372"/>
      <c r="I196" s="372"/>
      <c r="J196" s="372"/>
      <c r="K196" s="372"/>
      <c r="L196" s="372"/>
      <c r="M196" s="372"/>
      <c r="N196" s="372"/>
      <c r="O196" s="372"/>
      <c r="P196" s="371">
        <f t="shared" si="19"/>
        <v>0</v>
      </c>
      <c r="Q196" s="371"/>
      <c r="R196" s="372"/>
      <c r="S196" s="372"/>
      <c r="T196" s="372"/>
      <c r="U196" s="372"/>
      <c r="V196" s="372"/>
      <c r="W196" s="372"/>
      <c r="X196" s="372"/>
      <c r="Y196" s="372"/>
      <c r="Z196" s="372"/>
      <c r="AA196" s="372"/>
      <c r="AB196" s="372"/>
      <c r="AC196" s="372"/>
      <c r="AD196" s="372"/>
      <c r="AE196" s="372"/>
      <c r="AF196" s="372"/>
      <c r="AG196" s="372"/>
      <c r="AH196" s="372"/>
      <c r="AI196" s="372"/>
      <c r="AJ196" s="372"/>
      <c r="AK196" s="372"/>
      <c r="AL196" s="372"/>
      <c r="AM196" s="372"/>
      <c r="AN196" s="372"/>
      <c r="AO196" s="372"/>
      <c r="AP196" s="372"/>
      <c r="AQ196" s="372"/>
      <c r="AR196" s="372"/>
      <c r="AS196" s="372"/>
      <c r="AT196" s="372"/>
    </row>
    <row r="197" spans="3:46" ht="15.75">
      <c r="C197" s="372"/>
      <c r="D197" s="372"/>
      <c r="E197" s="372"/>
      <c r="F197" s="372"/>
      <c r="G197" s="372"/>
      <c r="H197" s="372"/>
      <c r="I197" s="372"/>
      <c r="J197" s="372"/>
      <c r="K197" s="372"/>
      <c r="L197" s="372"/>
      <c r="M197" s="372"/>
      <c r="N197" s="372"/>
      <c r="O197" s="372"/>
      <c r="P197" s="371">
        <f t="shared" si="19"/>
        <v>0</v>
      </c>
      <c r="Q197" s="371"/>
      <c r="R197" s="372"/>
      <c r="S197" s="372"/>
      <c r="T197" s="372"/>
      <c r="U197" s="372"/>
      <c r="V197" s="372"/>
      <c r="W197" s="372"/>
      <c r="X197" s="372"/>
      <c r="Y197" s="372"/>
      <c r="Z197" s="372"/>
      <c r="AA197" s="372"/>
      <c r="AB197" s="372"/>
      <c r="AC197" s="372"/>
      <c r="AD197" s="372"/>
      <c r="AE197" s="372"/>
      <c r="AF197" s="372"/>
      <c r="AG197" s="372"/>
      <c r="AH197" s="372"/>
      <c r="AI197" s="372"/>
      <c r="AJ197" s="372"/>
      <c r="AK197" s="372"/>
      <c r="AL197" s="372"/>
      <c r="AM197" s="372"/>
      <c r="AN197" s="372"/>
      <c r="AO197" s="372"/>
      <c r="AP197" s="372"/>
      <c r="AQ197" s="372"/>
      <c r="AR197" s="372"/>
      <c r="AS197" s="372"/>
      <c r="AT197" s="372"/>
    </row>
    <row r="198" spans="3:46" ht="15.75">
      <c r="C198" s="372"/>
      <c r="D198" s="372"/>
      <c r="E198" s="372"/>
      <c r="F198" s="372"/>
      <c r="G198" s="372"/>
      <c r="H198" s="372"/>
      <c r="I198" s="372"/>
      <c r="J198" s="372"/>
      <c r="K198" s="372"/>
      <c r="L198" s="372"/>
      <c r="M198" s="372"/>
      <c r="N198" s="372"/>
      <c r="O198" s="372"/>
      <c r="P198" s="371">
        <f t="shared" si="19"/>
        <v>0</v>
      </c>
      <c r="Q198" s="371"/>
      <c r="R198" s="372"/>
      <c r="S198" s="372"/>
      <c r="T198" s="372"/>
      <c r="U198" s="372"/>
      <c r="V198" s="372"/>
      <c r="W198" s="372"/>
      <c r="X198" s="372"/>
      <c r="Y198" s="372"/>
      <c r="Z198" s="372"/>
      <c r="AA198" s="372"/>
      <c r="AB198" s="372"/>
      <c r="AC198" s="372"/>
      <c r="AD198" s="372"/>
      <c r="AE198" s="372"/>
      <c r="AF198" s="372"/>
      <c r="AG198" s="372"/>
      <c r="AH198" s="372"/>
      <c r="AI198" s="372"/>
      <c r="AJ198" s="372"/>
      <c r="AK198" s="372"/>
      <c r="AL198" s="372"/>
      <c r="AM198" s="372"/>
      <c r="AN198" s="372"/>
      <c r="AO198" s="372"/>
      <c r="AP198" s="372"/>
      <c r="AQ198" s="372"/>
      <c r="AR198" s="372"/>
      <c r="AS198" s="372"/>
      <c r="AT198" s="372"/>
    </row>
    <row r="199" spans="3:46" ht="15.75">
      <c r="C199" s="372"/>
      <c r="D199" s="372"/>
      <c r="E199" s="372"/>
      <c r="F199" s="372"/>
      <c r="G199" s="372"/>
      <c r="H199" s="372"/>
      <c r="I199" s="372"/>
      <c r="J199" s="372"/>
      <c r="K199" s="372"/>
      <c r="L199" s="372"/>
      <c r="M199" s="372"/>
      <c r="N199" s="372"/>
      <c r="O199" s="372"/>
      <c r="P199" s="371">
        <f t="shared" si="19"/>
        <v>0</v>
      </c>
      <c r="Q199" s="371"/>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372"/>
      <c r="AN199" s="372"/>
      <c r="AO199" s="372"/>
      <c r="AP199" s="372"/>
      <c r="AQ199" s="372"/>
      <c r="AR199" s="372"/>
      <c r="AS199" s="372"/>
      <c r="AT199" s="372"/>
    </row>
    <row r="200" spans="3:46" ht="15.75">
      <c r="C200" s="372"/>
      <c r="D200" s="372"/>
      <c r="E200" s="372"/>
      <c r="F200" s="372"/>
      <c r="G200" s="372"/>
      <c r="H200" s="372"/>
      <c r="I200" s="372"/>
      <c r="J200" s="372"/>
      <c r="K200" s="372"/>
      <c r="L200" s="372"/>
      <c r="M200" s="372"/>
      <c r="N200" s="372"/>
      <c r="O200" s="372"/>
      <c r="P200" s="371">
        <f t="shared" si="19"/>
        <v>0</v>
      </c>
      <c r="Q200" s="371"/>
      <c r="R200" s="372"/>
      <c r="S200" s="372"/>
      <c r="T200" s="372"/>
      <c r="U200" s="372"/>
      <c r="V200" s="372"/>
      <c r="W200" s="372"/>
      <c r="X200" s="372"/>
      <c r="Y200" s="372"/>
      <c r="Z200" s="372"/>
      <c r="AA200" s="372"/>
      <c r="AB200" s="372"/>
      <c r="AC200" s="372"/>
      <c r="AD200" s="372"/>
      <c r="AE200" s="372"/>
      <c r="AF200" s="372"/>
      <c r="AG200" s="372"/>
      <c r="AH200" s="372"/>
      <c r="AI200" s="372"/>
      <c r="AJ200" s="372"/>
      <c r="AK200" s="372"/>
      <c r="AL200" s="372"/>
      <c r="AM200" s="372"/>
      <c r="AN200" s="372"/>
      <c r="AO200" s="372"/>
      <c r="AP200" s="372"/>
      <c r="AQ200" s="372"/>
      <c r="AR200" s="372"/>
      <c r="AS200" s="372"/>
      <c r="AT200" s="372"/>
    </row>
    <row r="201" spans="3:46" ht="15.75">
      <c r="C201" s="372"/>
      <c r="D201" s="372"/>
      <c r="E201" s="372"/>
      <c r="F201" s="372"/>
      <c r="G201" s="372"/>
      <c r="H201" s="372"/>
      <c r="I201" s="372"/>
      <c r="J201" s="372"/>
      <c r="K201" s="372"/>
      <c r="L201" s="372"/>
      <c r="M201" s="372"/>
      <c r="N201" s="372"/>
      <c r="O201" s="372"/>
      <c r="P201" s="371">
        <f t="shared" si="19"/>
        <v>0</v>
      </c>
      <c r="Q201" s="371"/>
      <c r="R201" s="372"/>
      <c r="S201" s="372"/>
      <c r="T201" s="372"/>
      <c r="U201" s="372"/>
      <c r="V201" s="372"/>
      <c r="W201" s="372"/>
      <c r="X201" s="372"/>
      <c r="Y201" s="372"/>
      <c r="Z201" s="372"/>
      <c r="AA201" s="372"/>
      <c r="AB201" s="372"/>
      <c r="AC201" s="372"/>
      <c r="AD201" s="372"/>
      <c r="AE201" s="372"/>
      <c r="AF201" s="372"/>
      <c r="AG201" s="372"/>
      <c r="AH201" s="372"/>
      <c r="AI201" s="372"/>
      <c r="AJ201" s="372"/>
      <c r="AK201" s="372"/>
      <c r="AL201" s="372"/>
      <c r="AM201" s="372"/>
      <c r="AN201" s="372"/>
      <c r="AO201" s="372"/>
      <c r="AP201" s="372"/>
      <c r="AQ201" s="372"/>
      <c r="AR201" s="372"/>
      <c r="AS201" s="372"/>
      <c r="AT201" s="372"/>
    </row>
    <row r="202" spans="3:46" ht="15.75">
      <c r="C202" s="372"/>
      <c r="D202" s="372"/>
      <c r="E202" s="372"/>
      <c r="F202" s="372"/>
      <c r="G202" s="372"/>
      <c r="H202" s="372"/>
      <c r="I202" s="372"/>
      <c r="J202" s="372"/>
      <c r="K202" s="372"/>
      <c r="L202" s="372"/>
      <c r="M202" s="372"/>
      <c r="N202" s="372"/>
      <c r="O202" s="372"/>
      <c r="P202" s="371">
        <f t="shared" si="19"/>
        <v>0</v>
      </c>
      <c r="Q202" s="371"/>
      <c r="R202" s="372"/>
      <c r="S202" s="372"/>
      <c r="T202" s="372"/>
      <c r="U202" s="372"/>
      <c r="V202" s="372"/>
      <c r="W202" s="372"/>
      <c r="X202" s="372"/>
      <c r="Y202" s="372"/>
      <c r="Z202" s="372"/>
      <c r="AA202" s="372"/>
      <c r="AB202" s="372"/>
      <c r="AC202" s="372"/>
      <c r="AD202" s="372"/>
      <c r="AE202" s="372"/>
      <c r="AF202" s="372"/>
      <c r="AG202" s="372"/>
      <c r="AH202" s="372"/>
      <c r="AI202" s="372"/>
      <c r="AJ202" s="372"/>
      <c r="AK202" s="372"/>
      <c r="AL202" s="372"/>
      <c r="AM202" s="372"/>
      <c r="AN202" s="372"/>
      <c r="AO202" s="372"/>
      <c r="AP202" s="372"/>
      <c r="AQ202" s="372"/>
      <c r="AR202" s="372"/>
      <c r="AS202" s="372"/>
      <c r="AT202" s="372"/>
    </row>
    <row r="203" spans="3:46" ht="15.75">
      <c r="C203" s="372"/>
      <c r="D203" s="372"/>
      <c r="E203" s="372"/>
      <c r="F203" s="372"/>
      <c r="G203" s="372"/>
      <c r="H203" s="372"/>
      <c r="I203" s="372"/>
      <c r="J203" s="372"/>
      <c r="K203" s="372"/>
      <c r="L203" s="372"/>
      <c r="M203" s="372"/>
      <c r="N203" s="372"/>
      <c r="O203" s="372"/>
      <c r="P203" s="371"/>
      <c r="Q203" s="371"/>
      <c r="R203" s="372"/>
      <c r="S203" s="372"/>
      <c r="T203" s="372"/>
      <c r="U203" s="372"/>
      <c r="V203" s="372"/>
      <c r="W203" s="372"/>
      <c r="X203" s="372"/>
      <c r="Y203" s="372"/>
      <c r="Z203" s="372"/>
      <c r="AA203" s="372"/>
      <c r="AB203" s="372"/>
      <c r="AC203" s="372"/>
      <c r="AD203" s="372"/>
      <c r="AE203" s="372"/>
      <c r="AF203" s="372"/>
      <c r="AG203" s="372"/>
      <c r="AH203" s="372"/>
      <c r="AI203" s="372"/>
      <c r="AJ203" s="372"/>
      <c r="AK203" s="372"/>
      <c r="AL203" s="372"/>
      <c r="AM203" s="372"/>
      <c r="AN203" s="372"/>
      <c r="AO203" s="372"/>
      <c r="AP203" s="372"/>
      <c r="AQ203" s="372"/>
      <c r="AR203" s="372"/>
      <c r="AS203" s="372"/>
      <c r="AT203" s="372"/>
    </row>
    <row r="204" spans="3:46" ht="15.75">
      <c r="C204" s="372"/>
      <c r="D204" s="372"/>
      <c r="E204" s="372"/>
      <c r="F204" s="372"/>
      <c r="G204" s="372"/>
      <c r="H204" s="372"/>
      <c r="I204" s="372"/>
      <c r="J204" s="372"/>
      <c r="K204" s="372"/>
      <c r="L204" s="372"/>
      <c r="M204" s="372"/>
      <c r="N204" s="372"/>
      <c r="O204" s="372"/>
      <c r="P204" s="371"/>
      <c r="Q204" s="371"/>
      <c r="R204" s="372"/>
      <c r="S204" s="372"/>
      <c r="T204" s="372"/>
      <c r="U204" s="372"/>
      <c r="V204" s="372"/>
      <c r="W204" s="372"/>
      <c r="X204" s="372"/>
      <c r="Y204" s="372"/>
      <c r="Z204" s="372"/>
      <c r="AA204" s="372"/>
      <c r="AB204" s="372"/>
      <c r="AC204" s="372"/>
      <c r="AD204" s="372"/>
      <c r="AE204" s="372"/>
      <c r="AF204" s="372"/>
      <c r="AG204" s="372"/>
      <c r="AH204" s="372"/>
      <c r="AI204" s="372"/>
      <c r="AJ204" s="372"/>
      <c r="AK204" s="372"/>
      <c r="AL204" s="372"/>
      <c r="AM204" s="372"/>
      <c r="AN204" s="372"/>
      <c r="AO204" s="372"/>
      <c r="AP204" s="372"/>
      <c r="AQ204" s="372"/>
      <c r="AR204" s="372"/>
      <c r="AS204" s="372"/>
      <c r="AT204" s="372"/>
    </row>
    <row r="205" spans="3:46" ht="15.75">
      <c r="C205" s="372"/>
      <c r="D205" s="372"/>
      <c r="E205" s="372"/>
      <c r="F205" s="372"/>
      <c r="G205" s="372"/>
      <c r="H205" s="372"/>
      <c r="I205" s="372"/>
      <c r="J205" s="372"/>
      <c r="K205" s="372"/>
      <c r="L205" s="372"/>
      <c r="M205" s="372"/>
      <c r="N205" s="372"/>
      <c r="O205" s="372"/>
      <c r="P205" s="371"/>
      <c r="Q205" s="371"/>
      <c r="R205" s="372"/>
      <c r="S205" s="372"/>
      <c r="T205" s="372"/>
      <c r="U205" s="372"/>
      <c r="V205" s="372"/>
      <c r="W205" s="372"/>
      <c r="X205" s="372"/>
      <c r="Y205" s="372"/>
      <c r="Z205" s="372"/>
      <c r="AA205" s="372"/>
      <c r="AB205" s="372"/>
      <c r="AC205" s="372"/>
      <c r="AD205" s="372"/>
      <c r="AE205" s="372"/>
      <c r="AF205" s="372"/>
      <c r="AG205" s="372"/>
      <c r="AH205" s="372"/>
      <c r="AI205" s="372"/>
      <c r="AJ205" s="372"/>
      <c r="AK205" s="372"/>
      <c r="AL205" s="372"/>
      <c r="AM205" s="372"/>
      <c r="AN205" s="372"/>
      <c r="AO205" s="372"/>
      <c r="AP205" s="372"/>
      <c r="AQ205" s="372"/>
      <c r="AR205" s="372"/>
      <c r="AS205" s="372"/>
      <c r="AT205" s="372"/>
    </row>
    <row r="206" spans="3:46" ht="15.75">
      <c r="C206" s="372"/>
      <c r="D206" s="372"/>
      <c r="E206" s="372"/>
      <c r="F206" s="372"/>
      <c r="G206" s="372"/>
      <c r="H206" s="372"/>
      <c r="I206" s="372"/>
      <c r="J206" s="372"/>
      <c r="K206" s="372"/>
      <c r="L206" s="372"/>
      <c r="M206" s="372"/>
      <c r="N206" s="372"/>
      <c r="O206" s="372"/>
      <c r="P206" s="371"/>
      <c r="Q206" s="371"/>
      <c r="R206" s="372"/>
      <c r="S206" s="372"/>
      <c r="T206" s="372"/>
      <c r="U206" s="372"/>
      <c r="V206" s="372"/>
      <c r="W206" s="372"/>
      <c r="X206" s="372"/>
      <c r="Y206" s="372"/>
      <c r="Z206" s="372"/>
      <c r="AA206" s="372"/>
      <c r="AB206" s="372"/>
      <c r="AC206" s="372"/>
      <c r="AD206" s="372"/>
      <c r="AE206" s="372"/>
      <c r="AF206" s="372"/>
      <c r="AG206" s="372"/>
      <c r="AH206" s="372"/>
      <c r="AI206" s="372"/>
      <c r="AJ206" s="372"/>
      <c r="AK206" s="372"/>
      <c r="AL206" s="372"/>
      <c r="AM206" s="372"/>
      <c r="AN206" s="372"/>
      <c r="AO206" s="372"/>
      <c r="AP206" s="372"/>
      <c r="AQ206" s="372"/>
      <c r="AR206" s="372"/>
      <c r="AS206" s="372"/>
      <c r="AT206" s="372"/>
    </row>
    <row r="207" spans="3:46" ht="15.75">
      <c r="C207" s="372"/>
      <c r="D207" s="372"/>
      <c r="E207" s="372"/>
      <c r="F207" s="372"/>
      <c r="G207" s="372"/>
      <c r="H207" s="372"/>
      <c r="I207" s="372"/>
      <c r="J207" s="372"/>
      <c r="K207" s="372"/>
      <c r="L207" s="372"/>
      <c r="M207" s="372"/>
      <c r="N207" s="372"/>
      <c r="O207" s="372"/>
      <c r="P207" s="371"/>
      <c r="Q207" s="371"/>
      <c r="R207" s="372"/>
      <c r="S207" s="372"/>
      <c r="T207" s="372"/>
      <c r="U207" s="372"/>
      <c r="V207" s="372"/>
      <c r="W207" s="372"/>
      <c r="X207" s="372"/>
      <c r="Y207" s="372"/>
      <c r="Z207" s="372"/>
      <c r="AA207" s="372"/>
      <c r="AB207" s="372"/>
      <c r="AC207" s="372"/>
      <c r="AD207" s="372"/>
      <c r="AE207" s="372"/>
      <c r="AF207" s="372"/>
      <c r="AG207" s="372"/>
      <c r="AH207" s="372"/>
      <c r="AI207" s="372"/>
      <c r="AJ207" s="372"/>
      <c r="AK207" s="372"/>
      <c r="AL207" s="372"/>
      <c r="AM207" s="372"/>
      <c r="AN207" s="372"/>
      <c r="AO207" s="372"/>
      <c r="AP207" s="372"/>
      <c r="AQ207" s="372"/>
      <c r="AR207" s="372"/>
      <c r="AS207" s="372"/>
      <c r="AT207" s="372"/>
    </row>
    <row r="208" spans="3:46" ht="15.75">
      <c r="C208" s="372"/>
      <c r="D208" s="372"/>
      <c r="E208" s="372"/>
      <c r="F208" s="372"/>
      <c r="G208" s="372"/>
      <c r="H208" s="372"/>
      <c r="I208" s="372"/>
      <c r="J208" s="372"/>
      <c r="K208" s="372"/>
      <c r="L208" s="372"/>
      <c r="M208" s="372"/>
      <c r="N208" s="372"/>
      <c r="O208" s="372"/>
      <c r="P208" s="371"/>
      <c r="Q208" s="371"/>
      <c r="T208" s="372"/>
      <c r="U208" s="372"/>
      <c r="V208" s="372"/>
      <c r="W208" s="372"/>
      <c r="X208" s="372"/>
      <c r="Y208" s="372"/>
      <c r="Z208" s="372"/>
      <c r="AA208" s="372"/>
      <c r="AB208" s="372"/>
      <c r="AC208" s="372"/>
      <c r="AD208" s="372"/>
      <c r="AE208" s="372"/>
      <c r="AF208" s="372"/>
      <c r="AG208" s="372"/>
      <c r="AH208" s="372"/>
      <c r="AI208" s="372"/>
      <c r="AJ208" s="372"/>
      <c r="AK208" s="372"/>
      <c r="AL208" s="372"/>
      <c r="AM208" s="372"/>
      <c r="AN208" s="372"/>
      <c r="AO208" s="372"/>
      <c r="AP208" s="372"/>
      <c r="AQ208" s="372"/>
      <c r="AR208" s="372"/>
      <c r="AS208" s="372"/>
      <c r="AT208" s="372"/>
    </row>
  </sheetData>
  <mergeCells count="6">
    <mergeCell ref="F1:L1"/>
    <mergeCell ref="C3:E3"/>
    <mergeCell ref="F3:P3"/>
    <mergeCell ref="R3:S3"/>
    <mergeCell ref="R4:S4"/>
    <mergeCell ref="R19:S19"/>
  </mergeCells>
  <hyperlinks>
    <hyperlink ref="R10" r:id="rId1" display="http://www.cde.ca.gov/fg/aa/ca/estcashflow.asp"/>
    <hyperlink ref="R11" r:id="rId2" display="http://www.cde.ca.gov/fg/aa/ca/estcashflow.asp"/>
  </hyperlinks>
  <printOptions horizontalCentered="1"/>
  <pageMargins left="0.25" right="0.25" top="0.25" bottom="0.25" header="0.5" footer="0.5"/>
  <pageSetup fitToHeight="0" fitToWidth="1" orientation="landscape" scale="34"/>
</worksheet>
</file>

<file path=xl/worksheets/sheet3.xml><?xml version="1.0" encoding="utf-8"?>
<worksheet xmlns="http://schemas.openxmlformats.org/spreadsheetml/2006/main" xmlns:r="http://schemas.openxmlformats.org/officeDocument/2006/relationships">
  <sheetPr>
    <pageSetUpPr fitToPage="1"/>
  </sheetPr>
  <dimension ref="A1:O175"/>
  <sheetViews>
    <sheetView workbookViewId="0" topLeftCell="B41">
      <selection activeCell="M72" sqref="M72"/>
    </sheetView>
  </sheetViews>
  <sheetFormatPr defaultColWidth="6.6640625" defaultRowHeight="15"/>
  <cols>
    <col min="1" max="1" width="28.88671875" style="360" customWidth="1"/>
    <col min="2" max="2" width="9.99609375" style="360" customWidth="1"/>
    <col min="3" max="5" width="10.4453125" style="360" customWidth="1"/>
    <col min="6" max="6" width="9.99609375" style="360" customWidth="1"/>
    <col min="7" max="8" width="10.77734375" style="360" customWidth="1"/>
    <col min="9" max="9" width="13.88671875" style="360" customWidth="1"/>
    <col min="10" max="10" width="13.10546875" style="360" customWidth="1"/>
    <col min="11" max="11" width="12.88671875" style="360" customWidth="1"/>
    <col min="12" max="12" width="13.88671875" style="360" customWidth="1"/>
    <col min="13" max="13" width="12.88671875" style="360" customWidth="1"/>
    <col min="14" max="14" width="13.88671875" style="360" customWidth="1"/>
    <col min="15" max="15" width="6.21484375" style="361" customWidth="1"/>
    <col min="16" max="16384" width="6.6640625" style="360" customWidth="1"/>
  </cols>
  <sheetData>
    <row r="1" spans="1:15" s="336" customFormat="1" ht="13.5">
      <c r="A1" s="336" t="str">
        <f>+'[1]Summary Tab'!A1</f>
        <v>"Master Template" School District</v>
      </c>
      <c r="B1" s="405"/>
      <c r="C1" s="405"/>
      <c r="D1" s="405"/>
      <c r="E1" s="405"/>
      <c r="F1" s="405"/>
      <c r="G1" s="405"/>
      <c r="H1" s="405"/>
      <c r="I1" s="405"/>
      <c r="J1" s="405"/>
      <c r="K1" s="405"/>
      <c r="L1" s="405"/>
      <c r="M1" s="405"/>
      <c r="N1" s="405"/>
      <c r="O1" s="337"/>
    </row>
    <row r="2" spans="1:15" s="336" customFormat="1" ht="13.5">
      <c r="A2" s="338" t="s">
        <v>94</v>
      </c>
      <c r="B2" s="405"/>
      <c r="C2" s="405"/>
      <c r="D2" s="405"/>
      <c r="E2" s="405"/>
      <c r="F2" s="405"/>
      <c r="G2" s="405"/>
      <c r="H2" s="405"/>
      <c r="I2" s="405"/>
      <c r="J2" s="405"/>
      <c r="K2" s="405"/>
      <c r="L2" s="405"/>
      <c r="M2" s="405"/>
      <c r="N2" s="405"/>
      <c r="O2" s="337"/>
    </row>
    <row r="3" spans="1:15" s="341" customFormat="1" ht="13.5">
      <c r="A3" s="338" t="s">
        <v>95</v>
      </c>
      <c r="B3" s="339" t="s">
        <v>180</v>
      </c>
      <c r="C3" s="339" t="s">
        <v>182</v>
      </c>
      <c r="D3" s="339" t="s">
        <v>183</v>
      </c>
      <c r="E3" s="339" t="s">
        <v>184</v>
      </c>
      <c r="F3" s="339" t="s">
        <v>185</v>
      </c>
      <c r="G3" s="339" t="s">
        <v>205</v>
      </c>
      <c r="H3" s="339" t="s">
        <v>206</v>
      </c>
      <c r="I3" s="339" t="s">
        <v>207</v>
      </c>
      <c r="J3" s="339" t="s">
        <v>253</v>
      </c>
      <c r="K3" s="339" t="s">
        <v>254</v>
      </c>
      <c r="L3" s="339" t="s">
        <v>255</v>
      </c>
      <c r="M3" s="339" t="s">
        <v>256</v>
      </c>
      <c r="N3" s="339" t="s">
        <v>149</v>
      </c>
      <c r="O3" s="340" t="s">
        <v>96</v>
      </c>
    </row>
    <row r="4" spans="1:15" s="341" customFormat="1" ht="13.5">
      <c r="A4" s="338" t="s">
        <v>117</v>
      </c>
      <c r="B4" s="406"/>
      <c r="C4" s="406"/>
      <c r="D4" s="406"/>
      <c r="E4" s="406"/>
      <c r="F4" s="406"/>
      <c r="G4" s="406"/>
      <c r="H4" s="406"/>
      <c r="I4" s="406"/>
      <c r="J4" s="406"/>
      <c r="K4" s="406"/>
      <c r="L4" s="406"/>
      <c r="M4" s="406"/>
      <c r="N4" s="406"/>
      <c r="O4" s="340"/>
    </row>
    <row r="5" spans="1:15" s="341" customFormat="1" ht="13.5">
      <c r="A5" s="341" t="s">
        <v>45</v>
      </c>
      <c r="B5" s="406"/>
      <c r="C5" s="406"/>
      <c r="D5" s="406"/>
      <c r="E5" s="406"/>
      <c r="F5" s="406"/>
      <c r="G5" s="406"/>
      <c r="H5" s="406"/>
      <c r="I5" s="406"/>
      <c r="J5" s="406"/>
      <c r="K5" s="406"/>
      <c r="L5" s="406"/>
      <c r="M5" s="406"/>
      <c r="N5" s="406"/>
      <c r="O5" s="340"/>
    </row>
    <row r="6" spans="1:15" s="341" customFormat="1" ht="13.5">
      <c r="A6" s="341" t="s">
        <v>46</v>
      </c>
      <c r="B6" s="407">
        <f aca="true" t="shared" si="0" ref="B6:M14">+IF($N39+$N111=0,0,+ROUND((B39+B111)/($N39+$N111),4))</f>
        <v>0.001</v>
      </c>
      <c r="C6" s="407">
        <f t="shared" si="0"/>
        <v>0.0005</v>
      </c>
      <c r="D6" s="407">
        <f t="shared" si="0"/>
        <v>0.0018</v>
      </c>
      <c r="E6" s="407">
        <f t="shared" si="0"/>
        <v>0.0607</v>
      </c>
      <c r="F6" s="407">
        <f t="shared" si="0"/>
        <v>0.0788</v>
      </c>
      <c r="G6" s="407">
        <f t="shared" si="0"/>
        <v>0.2758</v>
      </c>
      <c r="H6" s="407">
        <f t="shared" si="0"/>
        <v>0.0998</v>
      </c>
      <c r="I6" s="407">
        <f t="shared" si="0"/>
        <v>0.0021</v>
      </c>
      <c r="J6" s="407">
        <f t="shared" si="0"/>
        <v>0.0803</v>
      </c>
      <c r="K6" s="407">
        <f t="shared" si="0"/>
        <v>0.2697</v>
      </c>
      <c r="L6" s="407">
        <f t="shared" si="0"/>
        <v>0.0124</v>
      </c>
      <c r="M6" s="407">
        <f t="shared" si="0"/>
        <v>0.1171</v>
      </c>
      <c r="N6" s="407">
        <f aca="true" t="shared" si="1" ref="N6:N14">+IF(N39+N111=0,0,+ROUND((N39+N111)/($N39+$N111),4))</f>
        <v>1</v>
      </c>
      <c r="O6" s="408">
        <f aca="true" t="shared" si="2" ref="O6:O14">+N6-SUM(B6:M6)</f>
        <v>0</v>
      </c>
    </row>
    <row r="7" spans="1:15" s="341" customFormat="1" ht="13.5">
      <c r="A7" s="341" t="s">
        <v>47</v>
      </c>
      <c r="B7" s="407">
        <f t="shared" si="0"/>
        <v>-0.0145</v>
      </c>
      <c r="C7" s="407">
        <f t="shared" si="0"/>
        <v>0.0672</v>
      </c>
      <c r="D7" s="407">
        <f t="shared" si="0"/>
        <v>0.0622</v>
      </c>
      <c r="E7" s="407">
        <f t="shared" si="0"/>
        <v>0.0561</v>
      </c>
      <c r="F7" s="407">
        <f t="shared" si="0"/>
        <v>0.0638</v>
      </c>
      <c r="G7" s="407">
        <f t="shared" si="0"/>
        <v>0.1048</v>
      </c>
      <c r="H7" s="407">
        <f t="shared" si="0"/>
        <v>0.1349</v>
      </c>
      <c r="I7" s="407">
        <f t="shared" si="0"/>
        <v>0.0098</v>
      </c>
      <c r="J7" s="407">
        <f t="shared" si="0"/>
        <v>0.0173</v>
      </c>
      <c r="K7" s="407">
        <f t="shared" si="0"/>
        <v>0.1685</v>
      </c>
      <c r="L7" s="407">
        <f t="shared" si="0"/>
        <v>0.0775</v>
      </c>
      <c r="M7" s="407">
        <f t="shared" si="0"/>
        <v>0.2525</v>
      </c>
      <c r="N7" s="407">
        <f t="shared" si="1"/>
        <v>1</v>
      </c>
      <c r="O7" s="408">
        <f t="shared" si="2"/>
        <v>-9.999999999998899E-05</v>
      </c>
    </row>
    <row r="8" spans="1:15" s="341" customFormat="1" ht="13.5">
      <c r="A8" s="341" t="s">
        <v>48</v>
      </c>
      <c r="B8" s="407">
        <f t="shared" si="0"/>
        <v>0.0042</v>
      </c>
      <c r="C8" s="407">
        <f t="shared" si="0"/>
        <v>0.0038</v>
      </c>
      <c r="D8" s="407">
        <f t="shared" si="0"/>
        <v>0.0048</v>
      </c>
      <c r="E8" s="407">
        <f t="shared" si="0"/>
        <v>0.0041</v>
      </c>
      <c r="F8" s="407">
        <f t="shared" si="0"/>
        <v>0.0047</v>
      </c>
      <c r="G8" s="407">
        <f t="shared" si="0"/>
        <v>0.0048</v>
      </c>
      <c r="H8" s="407">
        <f t="shared" si="0"/>
        <v>0.0369</v>
      </c>
      <c r="I8" s="407">
        <f t="shared" si="0"/>
        <v>0.0049</v>
      </c>
      <c r="J8" s="407">
        <f t="shared" si="0"/>
        <v>0.0054</v>
      </c>
      <c r="K8" s="407">
        <f t="shared" si="0"/>
        <v>0.005</v>
      </c>
      <c r="L8" s="407">
        <f t="shared" si="0"/>
        <v>0.0374</v>
      </c>
      <c r="M8" s="407">
        <f t="shared" si="0"/>
        <v>0.884</v>
      </c>
      <c r="N8" s="407">
        <f t="shared" si="1"/>
        <v>1</v>
      </c>
      <c r="O8" s="408">
        <f t="shared" si="2"/>
        <v>0</v>
      </c>
    </row>
    <row r="9" spans="1:15" s="341" customFormat="1" ht="13.5">
      <c r="A9" s="341" t="s">
        <v>49</v>
      </c>
      <c r="B9" s="407">
        <f t="shared" si="0"/>
        <v>0.0867</v>
      </c>
      <c r="C9" s="407">
        <f t="shared" si="0"/>
        <v>0.02</v>
      </c>
      <c r="D9" s="407">
        <f t="shared" si="0"/>
        <v>0.229</v>
      </c>
      <c r="E9" s="407">
        <f t="shared" si="0"/>
        <v>-0.0141</v>
      </c>
      <c r="F9" s="407">
        <f t="shared" si="0"/>
        <v>0.0222</v>
      </c>
      <c r="G9" s="407">
        <f t="shared" si="0"/>
        <v>0.0799</v>
      </c>
      <c r="H9" s="407">
        <f t="shared" si="0"/>
        <v>0.048</v>
      </c>
      <c r="I9" s="407">
        <f t="shared" si="0"/>
        <v>-0.1089</v>
      </c>
      <c r="J9" s="407">
        <f t="shared" si="0"/>
        <v>0.1487</v>
      </c>
      <c r="K9" s="407">
        <f t="shared" si="0"/>
        <v>0.0276</v>
      </c>
      <c r="L9" s="407">
        <f t="shared" si="0"/>
        <v>0.2013</v>
      </c>
      <c r="M9" s="407">
        <f t="shared" si="0"/>
        <v>0.2595</v>
      </c>
      <c r="N9" s="407">
        <f t="shared" si="1"/>
        <v>1</v>
      </c>
      <c r="O9" s="408">
        <f t="shared" si="2"/>
        <v>9.999999999998899E-05</v>
      </c>
    </row>
    <row r="10" spans="1:15" s="341" customFormat="1" ht="13.5">
      <c r="A10" s="341" t="s">
        <v>50</v>
      </c>
      <c r="B10" s="407">
        <f t="shared" si="0"/>
        <v>0.1263</v>
      </c>
      <c r="C10" s="407">
        <f t="shared" si="0"/>
        <v>-0.0817</v>
      </c>
      <c r="D10" s="407">
        <f t="shared" si="0"/>
        <v>-0.0047</v>
      </c>
      <c r="E10" s="407">
        <f t="shared" si="0"/>
        <v>0.0682</v>
      </c>
      <c r="F10" s="407">
        <f t="shared" si="0"/>
        <v>0.0241</v>
      </c>
      <c r="G10" s="407">
        <f t="shared" si="0"/>
        <v>0.1514</v>
      </c>
      <c r="H10" s="407">
        <f t="shared" si="0"/>
        <v>0.1383</v>
      </c>
      <c r="I10" s="407">
        <f t="shared" si="0"/>
        <v>0.0939</v>
      </c>
      <c r="J10" s="407">
        <f t="shared" si="0"/>
        <v>0.0846</v>
      </c>
      <c r="K10" s="407">
        <f t="shared" si="0"/>
        <v>0.0734</v>
      </c>
      <c r="L10" s="407">
        <f t="shared" si="0"/>
        <v>0.0303</v>
      </c>
      <c r="M10" s="407">
        <f t="shared" si="0"/>
        <v>0.2959</v>
      </c>
      <c r="N10" s="407">
        <f t="shared" si="1"/>
        <v>1</v>
      </c>
      <c r="O10" s="408">
        <f t="shared" si="2"/>
        <v>0</v>
      </c>
    </row>
    <row r="11" spans="1:15" s="341" customFormat="1" ht="13.5">
      <c r="A11" s="341" t="s">
        <v>51</v>
      </c>
      <c r="B11" s="407">
        <f t="shared" si="0"/>
        <v>0</v>
      </c>
      <c r="C11" s="407">
        <f t="shared" si="0"/>
        <v>0.0196</v>
      </c>
      <c r="D11" s="407">
        <f t="shared" si="0"/>
        <v>0.0473</v>
      </c>
      <c r="E11" s="407">
        <f t="shared" si="0"/>
        <v>0.1118</v>
      </c>
      <c r="F11" s="407">
        <f t="shared" si="0"/>
        <v>0.053</v>
      </c>
      <c r="G11" s="407">
        <f t="shared" si="0"/>
        <v>0.0592</v>
      </c>
      <c r="H11" s="407">
        <f t="shared" si="0"/>
        <v>0.1944</v>
      </c>
      <c r="I11" s="407">
        <f t="shared" si="0"/>
        <v>0.0073</v>
      </c>
      <c r="J11" s="407">
        <f t="shared" si="0"/>
        <v>0.0199</v>
      </c>
      <c r="K11" s="407">
        <f t="shared" si="0"/>
        <v>0.0855</v>
      </c>
      <c r="L11" s="407">
        <f t="shared" si="0"/>
        <v>0.054</v>
      </c>
      <c r="M11" s="407">
        <f t="shared" si="0"/>
        <v>0.3479</v>
      </c>
      <c r="N11" s="407">
        <f t="shared" si="1"/>
        <v>1</v>
      </c>
      <c r="O11" s="408">
        <f t="shared" si="2"/>
        <v>9.999999999998899E-05</v>
      </c>
    </row>
    <row r="12" spans="1:15" s="341" customFormat="1" ht="13.5">
      <c r="A12" s="341" t="s">
        <v>128</v>
      </c>
      <c r="B12" s="407">
        <f t="shared" si="0"/>
        <v>0</v>
      </c>
      <c r="C12" s="407">
        <f t="shared" si="0"/>
        <v>0</v>
      </c>
      <c r="D12" s="407">
        <f t="shared" si="0"/>
        <v>0</v>
      </c>
      <c r="E12" s="407">
        <f t="shared" si="0"/>
        <v>0.6367</v>
      </c>
      <c r="F12" s="407">
        <f t="shared" si="0"/>
        <v>0.5094</v>
      </c>
      <c r="G12" s="407">
        <f t="shared" si="0"/>
        <v>0</v>
      </c>
      <c r="H12" s="407">
        <f t="shared" si="0"/>
        <v>0</v>
      </c>
      <c r="I12" s="407">
        <f t="shared" si="0"/>
        <v>0</v>
      </c>
      <c r="J12" s="407">
        <f t="shared" si="0"/>
        <v>0</v>
      </c>
      <c r="K12" s="407">
        <f t="shared" si="0"/>
        <v>0</v>
      </c>
      <c r="L12" s="407">
        <f t="shared" si="0"/>
        <v>0</v>
      </c>
      <c r="M12" s="407">
        <f t="shared" si="0"/>
        <v>-0.1461</v>
      </c>
      <c r="N12" s="407">
        <f t="shared" si="1"/>
        <v>1</v>
      </c>
      <c r="O12" s="408">
        <f t="shared" si="2"/>
        <v>0</v>
      </c>
    </row>
    <row r="13" spans="1:15" s="341" customFormat="1" ht="13.5">
      <c r="A13" s="341" t="s">
        <v>129</v>
      </c>
      <c r="B13" s="407">
        <f t="shared" si="0"/>
        <v>0</v>
      </c>
      <c r="C13" s="407">
        <f t="shared" si="0"/>
        <v>0</v>
      </c>
      <c r="D13" s="407">
        <f t="shared" si="0"/>
        <v>0</v>
      </c>
      <c r="E13" s="407">
        <f t="shared" si="0"/>
        <v>0</v>
      </c>
      <c r="F13" s="407">
        <f t="shared" si="0"/>
        <v>0</v>
      </c>
      <c r="G13" s="407">
        <f t="shared" si="0"/>
        <v>0</v>
      </c>
      <c r="H13" s="407">
        <f t="shared" si="0"/>
        <v>0</v>
      </c>
      <c r="I13" s="407">
        <f t="shared" si="0"/>
        <v>0</v>
      </c>
      <c r="J13" s="407">
        <f t="shared" si="0"/>
        <v>0</v>
      </c>
      <c r="K13" s="407">
        <f t="shared" si="0"/>
        <v>0</v>
      </c>
      <c r="L13" s="407">
        <f t="shared" si="0"/>
        <v>0</v>
      </c>
      <c r="M13" s="407">
        <f t="shared" si="0"/>
        <v>0</v>
      </c>
      <c r="N13" s="407">
        <f t="shared" si="1"/>
        <v>0</v>
      </c>
      <c r="O13" s="408">
        <f t="shared" si="2"/>
        <v>0</v>
      </c>
    </row>
    <row r="14" spans="1:15" s="341" customFormat="1" ht="13.5">
      <c r="A14" s="338" t="s">
        <v>130</v>
      </c>
      <c r="B14" s="407">
        <f t="shared" si="0"/>
        <v>0.019</v>
      </c>
      <c r="C14" s="407">
        <f t="shared" si="0"/>
        <v>-0.0035</v>
      </c>
      <c r="D14" s="407">
        <f t="shared" si="0"/>
        <v>0.0184</v>
      </c>
      <c r="E14" s="407">
        <f t="shared" si="0"/>
        <v>0.1211</v>
      </c>
      <c r="F14" s="407">
        <f t="shared" si="0"/>
        <v>0.1105</v>
      </c>
      <c r="G14" s="407">
        <f t="shared" si="0"/>
        <v>0.1878</v>
      </c>
      <c r="H14" s="407">
        <f t="shared" si="0"/>
        <v>0.0972</v>
      </c>
      <c r="I14" s="407">
        <f t="shared" si="0"/>
        <v>0.008</v>
      </c>
      <c r="J14" s="407">
        <f t="shared" si="0"/>
        <v>0.0653</v>
      </c>
      <c r="K14" s="407">
        <f t="shared" si="0"/>
        <v>0.1777</v>
      </c>
      <c r="L14" s="407">
        <f t="shared" si="0"/>
        <v>0.0296</v>
      </c>
      <c r="M14" s="407">
        <f t="shared" si="0"/>
        <v>0.1688</v>
      </c>
      <c r="N14" s="407">
        <f t="shared" si="1"/>
        <v>1</v>
      </c>
      <c r="O14" s="408">
        <f t="shared" si="2"/>
        <v>9.999999999998899E-05</v>
      </c>
    </row>
    <row r="15" spans="1:15" s="341" customFormat="1" ht="13.5">
      <c r="A15" s="341" t="s">
        <v>131</v>
      </c>
      <c r="B15" s="406"/>
      <c r="C15" s="406"/>
      <c r="D15" s="406"/>
      <c r="E15" s="406"/>
      <c r="F15" s="406"/>
      <c r="G15" s="406"/>
      <c r="H15" s="406"/>
      <c r="I15" s="406"/>
      <c r="J15" s="406"/>
      <c r="K15" s="406"/>
      <c r="L15" s="406"/>
      <c r="M15" s="406"/>
      <c r="N15" s="406"/>
      <c r="O15" s="340"/>
    </row>
    <row r="16" spans="1:15" s="341" customFormat="1" ht="13.5">
      <c r="A16" s="338" t="s">
        <v>59</v>
      </c>
      <c r="B16" s="406"/>
      <c r="C16" s="406"/>
      <c r="D16" s="406"/>
      <c r="E16" s="406"/>
      <c r="F16" s="406"/>
      <c r="G16" s="406"/>
      <c r="H16" s="406"/>
      <c r="I16" s="406"/>
      <c r="J16" s="406"/>
      <c r="K16" s="406"/>
      <c r="L16" s="406"/>
      <c r="M16" s="406"/>
      <c r="N16" s="406"/>
      <c r="O16" s="340"/>
    </row>
    <row r="17" spans="1:15" s="341" customFormat="1" ht="13.5">
      <c r="A17" s="341" t="s">
        <v>60</v>
      </c>
      <c r="B17" s="407">
        <f aca="true" t="shared" si="3" ref="B17:M27">+IF($N50+$N122=0,0,+ROUND((B50+B122)/($N50+$N122),4))</f>
        <v>0.0089</v>
      </c>
      <c r="C17" s="407">
        <f t="shared" si="3"/>
        <v>0.0116</v>
      </c>
      <c r="D17" s="407">
        <f t="shared" si="3"/>
        <v>0.1051</v>
      </c>
      <c r="E17" s="407">
        <f t="shared" si="3"/>
        <v>0.0958</v>
      </c>
      <c r="F17" s="407">
        <f t="shared" si="3"/>
        <v>0.0966</v>
      </c>
      <c r="G17" s="407">
        <f t="shared" si="3"/>
        <v>0.0975</v>
      </c>
      <c r="H17" s="407">
        <f t="shared" si="3"/>
        <v>0.0965</v>
      </c>
      <c r="I17" s="407">
        <f t="shared" si="3"/>
        <v>0.0957</v>
      </c>
      <c r="J17" s="407">
        <f t="shared" si="3"/>
        <v>0.0957</v>
      </c>
      <c r="K17" s="407">
        <f t="shared" si="3"/>
        <v>0.0977</v>
      </c>
      <c r="L17" s="407">
        <f t="shared" si="3"/>
        <v>0.0957</v>
      </c>
      <c r="M17" s="407">
        <f t="shared" si="3"/>
        <v>0.1032</v>
      </c>
      <c r="N17" s="407">
        <f aca="true" t="shared" si="4" ref="N17:N27">+IF(N50+N122=0,0,+ROUND((N50+N122)/($N50+$N122),4))</f>
        <v>1</v>
      </c>
      <c r="O17" s="408">
        <f aca="true" t="shared" si="5" ref="O17:O26">+N17-SUM(B17:M17)</f>
        <v>0</v>
      </c>
    </row>
    <row r="18" spans="1:15" s="341" customFormat="1" ht="13.5">
      <c r="A18" s="341" t="s">
        <v>61</v>
      </c>
      <c r="B18" s="407">
        <f t="shared" si="3"/>
        <v>0.0432</v>
      </c>
      <c r="C18" s="407">
        <f t="shared" si="3"/>
        <v>0.0547</v>
      </c>
      <c r="D18" s="407">
        <f t="shared" si="3"/>
        <v>0.0847</v>
      </c>
      <c r="E18" s="407">
        <f t="shared" si="3"/>
        <v>0.0856</v>
      </c>
      <c r="F18" s="407">
        <f t="shared" si="3"/>
        <v>0.0872</v>
      </c>
      <c r="G18" s="407">
        <f t="shared" si="3"/>
        <v>0.0863</v>
      </c>
      <c r="H18" s="407">
        <f t="shared" si="3"/>
        <v>0.0913</v>
      </c>
      <c r="I18" s="407">
        <f t="shared" si="3"/>
        <v>0.0875</v>
      </c>
      <c r="J18" s="407">
        <f t="shared" si="3"/>
        <v>0.0993</v>
      </c>
      <c r="K18" s="407">
        <f t="shared" si="3"/>
        <v>0.0911</v>
      </c>
      <c r="L18" s="407">
        <f t="shared" si="3"/>
        <v>0.0876</v>
      </c>
      <c r="M18" s="407">
        <f t="shared" si="3"/>
        <v>0.1015</v>
      </c>
      <c r="N18" s="407">
        <f t="shared" si="4"/>
        <v>1</v>
      </c>
      <c r="O18" s="408">
        <f t="shared" si="5"/>
        <v>0</v>
      </c>
    </row>
    <row r="19" spans="1:15" s="341" customFormat="1" ht="13.5">
      <c r="A19" s="341" t="s">
        <v>62</v>
      </c>
      <c r="B19" s="407">
        <f t="shared" si="3"/>
        <v>0.0472</v>
      </c>
      <c r="C19" s="407">
        <f t="shared" si="3"/>
        <v>0.0497</v>
      </c>
      <c r="D19" s="407">
        <f t="shared" si="3"/>
        <v>0.092</v>
      </c>
      <c r="E19" s="407">
        <f t="shared" si="3"/>
        <v>0.0887</v>
      </c>
      <c r="F19" s="407">
        <f t="shared" si="3"/>
        <v>0.0842</v>
      </c>
      <c r="G19" s="407">
        <f t="shared" si="3"/>
        <v>0.0847</v>
      </c>
      <c r="H19" s="407">
        <f t="shared" si="3"/>
        <v>0.0907</v>
      </c>
      <c r="I19" s="407">
        <f t="shared" si="3"/>
        <v>0.0903</v>
      </c>
      <c r="J19" s="407">
        <f t="shared" si="3"/>
        <v>0.0919</v>
      </c>
      <c r="K19" s="407">
        <f t="shared" si="3"/>
        <v>0.0946</v>
      </c>
      <c r="L19" s="407">
        <f t="shared" si="3"/>
        <v>0.0907</v>
      </c>
      <c r="M19" s="407">
        <f t="shared" si="3"/>
        <v>0.0953</v>
      </c>
      <c r="N19" s="407">
        <f t="shared" si="4"/>
        <v>1</v>
      </c>
      <c r="O19" s="408">
        <f t="shared" si="5"/>
        <v>0</v>
      </c>
    </row>
    <row r="20" spans="1:15" s="341" customFormat="1" ht="13.5">
      <c r="A20" s="341" t="s">
        <v>63</v>
      </c>
      <c r="B20" s="407">
        <f t="shared" si="3"/>
        <v>0.0092</v>
      </c>
      <c r="C20" s="407">
        <f t="shared" si="3"/>
        <v>0.0613</v>
      </c>
      <c r="D20" s="407">
        <f t="shared" si="3"/>
        <v>0.0688</v>
      </c>
      <c r="E20" s="407">
        <f t="shared" si="3"/>
        <v>0.047</v>
      </c>
      <c r="F20" s="407">
        <f t="shared" si="3"/>
        <v>0.0849</v>
      </c>
      <c r="G20" s="407">
        <f t="shared" si="3"/>
        <v>0.0749</v>
      </c>
      <c r="H20" s="407">
        <f t="shared" si="3"/>
        <v>0.0764</v>
      </c>
      <c r="I20" s="407">
        <f t="shared" si="3"/>
        <v>0.0541</v>
      </c>
      <c r="J20" s="407">
        <f t="shared" si="3"/>
        <v>0.0691</v>
      </c>
      <c r="K20" s="407">
        <f t="shared" si="3"/>
        <v>0.0672</v>
      </c>
      <c r="L20" s="407">
        <f t="shared" si="3"/>
        <v>0.1271</v>
      </c>
      <c r="M20" s="407">
        <f t="shared" si="3"/>
        <v>0.2601</v>
      </c>
      <c r="N20" s="407">
        <f t="shared" si="4"/>
        <v>1</v>
      </c>
      <c r="O20" s="408">
        <f t="shared" si="5"/>
        <v>-9.999999999998899E-05</v>
      </c>
    </row>
    <row r="21" spans="1:15" s="341" customFormat="1" ht="13.5">
      <c r="A21" s="341" t="s">
        <v>64</v>
      </c>
      <c r="B21" s="407">
        <f t="shared" si="3"/>
        <v>0.014</v>
      </c>
      <c r="C21" s="407">
        <f t="shared" si="3"/>
        <v>0.0903</v>
      </c>
      <c r="D21" s="407">
        <f t="shared" si="3"/>
        <v>0.0723</v>
      </c>
      <c r="E21" s="407">
        <f t="shared" si="3"/>
        <v>0.0888</v>
      </c>
      <c r="F21" s="407">
        <f t="shared" si="3"/>
        <v>0.0777</v>
      </c>
      <c r="G21" s="407">
        <f t="shared" si="3"/>
        <v>0.0856</v>
      </c>
      <c r="H21" s="407">
        <f t="shared" si="3"/>
        <v>0.0749</v>
      </c>
      <c r="I21" s="407">
        <f t="shared" si="3"/>
        <v>0.0686</v>
      </c>
      <c r="J21" s="407">
        <f t="shared" si="3"/>
        <v>0.0771</v>
      </c>
      <c r="K21" s="407">
        <f t="shared" si="3"/>
        <v>0.0883</v>
      </c>
      <c r="L21" s="407">
        <f t="shared" si="3"/>
        <v>0.0856</v>
      </c>
      <c r="M21" s="407">
        <f t="shared" si="3"/>
        <v>0.1768</v>
      </c>
      <c r="N21" s="407">
        <f t="shared" si="4"/>
        <v>1</v>
      </c>
      <c r="O21" s="408">
        <f t="shared" si="5"/>
        <v>0</v>
      </c>
    </row>
    <row r="22" spans="1:15" s="341" customFormat="1" ht="13.5">
      <c r="A22" s="341" t="s">
        <v>65</v>
      </c>
      <c r="B22" s="407">
        <f t="shared" si="3"/>
        <v>0.0002</v>
      </c>
      <c r="C22" s="407">
        <f t="shared" si="3"/>
        <v>0.037</v>
      </c>
      <c r="D22" s="407">
        <f t="shared" si="3"/>
        <v>0.0056</v>
      </c>
      <c r="E22" s="407">
        <f t="shared" si="3"/>
        <v>0.2118</v>
      </c>
      <c r="F22" s="407">
        <f t="shared" si="3"/>
        <v>0.0449</v>
      </c>
      <c r="G22" s="407">
        <f t="shared" si="3"/>
        <v>0.0432</v>
      </c>
      <c r="H22" s="407">
        <f t="shared" si="3"/>
        <v>0.124</v>
      </c>
      <c r="I22" s="407">
        <f t="shared" si="3"/>
        <v>0.0246</v>
      </c>
      <c r="J22" s="407">
        <f t="shared" si="3"/>
        <v>0.0555</v>
      </c>
      <c r="K22" s="407">
        <f t="shared" si="3"/>
        <v>0.0746</v>
      </c>
      <c r="L22" s="407">
        <f t="shared" si="3"/>
        <v>0.0219</v>
      </c>
      <c r="M22" s="407">
        <f t="shared" si="3"/>
        <v>0.3568</v>
      </c>
      <c r="N22" s="407">
        <f t="shared" si="4"/>
        <v>1</v>
      </c>
      <c r="O22" s="408">
        <f t="shared" si="5"/>
        <v>-0.00010000000000021103</v>
      </c>
    </row>
    <row r="23" spans="1:15" s="341" customFormat="1" ht="13.5">
      <c r="A23" s="341" t="s">
        <v>66</v>
      </c>
      <c r="B23" s="407">
        <f t="shared" si="3"/>
        <v>-0.0027</v>
      </c>
      <c r="C23" s="407">
        <f t="shared" si="3"/>
        <v>0.1283</v>
      </c>
      <c r="D23" s="407">
        <f t="shared" si="3"/>
        <v>0</v>
      </c>
      <c r="E23" s="407">
        <f t="shared" si="3"/>
        <v>0.0023</v>
      </c>
      <c r="F23" s="407">
        <f t="shared" si="3"/>
        <v>0.0161</v>
      </c>
      <c r="G23" s="407">
        <f t="shared" si="3"/>
        <v>0</v>
      </c>
      <c r="H23" s="407">
        <f t="shared" si="3"/>
        <v>0.033</v>
      </c>
      <c r="I23" s="407">
        <f t="shared" si="3"/>
        <v>0.0256</v>
      </c>
      <c r="J23" s="407">
        <f t="shared" si="3"/>
        <v>0</v>
      </c>
      <c r="K23" s="407">
        <f t="shared" si="3"/>
        <v>0</v>
      </c>
      <c r="L23" s="407">
        <f t="shared" si="3"/>
        <v>0.0036</v>
      </c>
      <c r="M23" s="407">
        <f t="shared" si="3"/>
        <v>0.7938</v>
      </c>
      <c r="N23" s="407">
        <f t="shared" si="4"/>
        <v>1</v>
      </c>
      <c r="O23" s="408">
        <f t="shared" si="5"/>
        <v>0</v>
      </c>
    </row>
    <row r="24" spans="1:15" s="341" customFormat="1" ht="13.5">
      <c r="A24" s="341" t="s">
        <v>67</v>
      </c>
      <c r="B24" s="407">
        <f t="shared" si="3"/>
        <v>0</v>
      </c>
      <c r="C24" s="407">
        <f t="shared" si="3"/>
        <v>0</v>
      </c>
      <c r="D24" s="407">
        <f t="shared" si="3"/>
        <v>0</v>
      </c>
      <c r="E24" s="407">
        <f t="shared" si="3"/>
        <v>0.0856</v>
      </c>
      <c r="F24" s="407">
        <f t="shared" si="3"/>
        <v>0</v>
      </c>
      <c r="G24" s="407">
        <f t="shared" si="3"/>
        <v>0</v>
      </c>
      <c r="H24" s="407">
        <f t="shared" si="3"/>
        <v>0</v>
      </c>
      <c r="I24" s="407">
        <f t="shared" si="3"/>
        <v>0</v>
      </c>
      <c r="J24" s="407">
        <f t="shared" si="3"/>
        <v>0.1876</v>
      </c>
      <c r="K24" s="407">
        <f t="shared" si="3"/>
        <v>0</v>
      </c>
      <c r="L24" s="407">
        <f t="shared" si="3"/>
        <v>0.0329</v>
      </c>
      <c r="M24" s="407">
        <f t="shared" si="3"/>
        <v>0.6939</v>
      </c>
      <c r="N24" s="407">
        <f t="shared" si="4"/>
        <v>1</v>
      </c>
      <c r="O24" s="408">
        <f t="shared" si="5"/>
        <v>0</v>
      </c>
    </row>
    <row r="25" spans="1:15" s="341" customFormat="1" ht="13.5">
      <c r="A25" s="341" t="s">
        <v>68</v>
      </c>
      <c r="B25" s="407">
        <f t="shared" si="3"/>
        <v>0</v>
      </c>
      <c r="C25" s="407">
        <f t="shared" si="3"/>
        <v>0</v>
      </c>
      <c r="D25" s="407">
        <f t="shared" si="3"/>
        <v>0</v>
      </c>
      <c r="E25" s="407">
        <f t="shared" si="3"/>
        <v>0</v>
      </c>
      <c r="F25" s="407">
        <f t="shared" si="3"/>
        <v>0</v>
      </c>
      <c r="G25" s="407">
        <f t="shared" si="3"/>
        <v>0</v>
      </c>
      <c r="H25" s="407">
        <f t="shared" si="3"/>
        <v>0</v>
      </c>
      <c r="I25" s="407">
        <f t="shared" si="3"/>
        <v>0</v>
      </c>
      <c r="J25" s="407">
        <f t="shared" si="3"/>
        <v>0</v>
      </c>
      <c r="K25" s="407">
        <f t="shared" si="3"/>
        <v>0</v>
      </c>
      <c r="L25" s="407">
        <f t="shared" si="3"/>
        <v>0</v>
      </c>
      <c r="M25" s="407">
        <f t="shared" si="3"/>
        <v>0</v>
      </c>
      <c r="N25" s="407">
        <f t="shared" si="4"/>
        <v>0</v>
      </c>
      <c r="O25" s="408">
        <f t="shared" si="5"/>
        <v>0</v>
      </c>
    </row>
    <row r="26" spans="1:15" s="341" customFormat="1" ht="13.5">
      <c r="A26" s="341" t="s">
        <v>8</v>
      </c>
      <c r="B26" s="407">
        <f t="shared" si="3"/>
        <v>0</v>
      </c>
      <c r="C26" s="407">
        <f t="shared" si="3"/>
        <v>0</v>
      </c>
      <c r="D26" s="407">
        <f t="shared" si="3"/>
        <v>0</v>
      </c>
      <c r="E26" s="407">
        <f t="shared" si="3"/>
        <v>0</v>
      </c>
      <c r="F26" s="407">
        <f t="shared" si="3"/>
        <v>0</v>
      </c>
      <c r="G26" s="407">
        <f t="shared" si="3"/>
        <v>0</v>
      </c>
      <c r="H26" s="407">
        <f t="shared" si="3"/>
        <v>0</v>
      </c>
      <c r="I26" s="407">
        <f t="shared" si="3"/>
        <v>0</v>
      </c>
      <c r="J26" s="407">
        <f t="shared" si="3"/>
        <v>0</v>
      </c>
      <c r="K26" s="407">
        <f t="shared" si="3"/>
        <v>0</v>
      </c>
      <c r="L26" s="407">
        <f t="shared" si="3"/>
        <v>0</v>
      </c>
      <c r="M26" s="407">
        <f t="shared" si="3"/>
        <v>0</v>
      </c>
      <c r="N26" s="407">
        <f t="shared" si="4"/>
        <v>0</v>
      </c>
      <c r="O26" s="408">
        <f t="shared" si="5"/>
        <v>0</v>
      </c>
    </row>
    <row r="27" spans="1:15" s="341" customFormat="1" ht="13.5">
      <c r="A27" s="338" t="s">
        <v>153</v>
      </c>
      <c r="B27" s="407">
        <f t="shared" si="3"/>
        <v>0.0189</v>
      </c>
      <c r="C27" s="407">
        <f t="shared" si="3"/>
        <v>0.0383</v>
      </c>
      <c r="D27" s="407">
        <f t="shared" si="3"/>
        <v>0.0889</v>
      </c>
      <c r="E27" s="407">
        <f t="shared" si="3"/>
        <v>0.088</v>
      </c>
      <c r="F27" s="407">
        <f t="shared" si="3"/>
        <v>0.0861</v>
      </c>
      <c r="G27" s="407">
        <f t="shared" si="3"/>
        <v>0.0861</v>
      </c>
      <c r="H27" s="407">
        <f t="shared" si="3"/>
        <v>0.0887</v>
      </c>
      <c r="I27" s="407">
        <f t="shared" si="3"/>
        <v>0.0846</v>
      </c>
      <c r="J27" s="407">
        <f t="shared" si="3"/>
        <v>0.0885</v>
      </c>
      <c r="K27" s="407">
        <f t="shared" si="3"/>
        <v>0.0888</v>
      </c>
      <c r="L27" s="407">
        <f t="shared" si="3"/>
        <v>0.0885</v>
      </c>
      <c r="M27" s="407">
        <f t="shared" si="3"/>
        <v>0.1545</v>
      </c>
      <c r="N27" s="407">
        <f t="shared" si="4"/>
        <v>1</v>
      </c>
      <c r="O27" s="408">
        <f>+N27-SUM(B27:M27)</f>
        <v>9.999999999998899E-05</v>
      </c>
    </row>
    <row r="28" spans="2:15" s="355" customFormat="1" ht="15">
      <c r="B28" s="427"/>
      <c r="C28" s="427"/>
      <c r="D28" s="427"/>
      <c r="E28" s="427"/>
      <c r="F28" s="427"/>
      <c r="G28" s="427"/>
      <c r="H28" s="427"/>
      <c r="I28" s="427"/>
      <c r="J28" s="427"/>
      <c r="K28" s="427"/>
      <c r="L28" s="427"/>
      <c r="M28" s="427"/>
      <c r="N28" s="427"/>
      <c r="O28" s="356"/>
    </row>
    <row r="29" spans="1:15" s="355" customFormat="1" ht="15">
      <c r="A29" s="341" t="s">
        <v>154</v>
      </c>
      <c r="B29" s="428">
        <f aca="true" t="shared" si="6" ref="B29:M29">+IF(SUM($N56:$N59)+SUM($N128:$N130)=0,0,+ROUND((SUM(B56:B59)+SUM(B128:B130))/(SUM($N56:$N59)+SUM($N128:$N130)),4))</f>
        <v>-0.0023</v>
      </c>
      <c r="C29" s="428">
        <f t="shared" si="6"/>
        <v>0.1084</v>
      </c>
      <c r="D29" s="428">
        <f t="shared" si="6"/>
        <v>0</v>
      </c>
      <c r="E29" s="428">
        <f t="shared" si="6"/>
        <v>0.0152</v>
      </c>
      <c r="F29" s="428">
        <f t="shared" si="6"/>
        <v>0.0136</v>
      </c>
      <c r="G29" s="428">
        <f t="shared" si="6"/>
        <v>0</v>
      </c>
      <c r="H29" s="428">
        <f t="shared" si="6"/>
        <v>0.0279</v>
      </c>
      <c r="I29" s="428">
        <f t="shared" si="6"/>
        <v>0.0217</v>
      </c>
      <c r="J29" s="428">
        <f t="shared" si="6"/>
        <v>0.0291</v>
      </c>
      <c r="K29" s="428">
        <f t="shared" si="6"/>
        <v>0</v>
      </c>
      <c r="L29" s="428">
        <f t="shared" si="6"/>
        <v>0.0082</v>
      </c>
      <c r="M29" s="428">
        <f t="shared" si="6"/>
        <v>0.7783</v>
      </c>
      <c r="N29" s="428">
        <f>+IF(SUM(N56:N59)+SUM(N128:N130)=0,0,+ROUND((SUM(N56:N59)+SUM(N128:N130))/(SUM($N56:$N59)+SUM($N128:$N130)),4))</f>
        <v>1</v>
      </c>
      <c r="O29" s="408">
        <f>+N29-SUM(B29:M29)</f>
        <v>-9.999999999998899E-05</v>
      </c>
    </row>
    <row r="30" spans="1:15" s="357" customFormat="1" ht="15">
      <c r="A30" s="342"/>
      <c r="B30" s="429"/>
      <c r="C30" s="429"/>
      <c r="D30" s="429"/>
      <c r="E30" s="429"/>
      <c r="F30" s="429"/>
      <c r="G30" s="429"/>
      <c r="H30" s="429"/>
      <c r="I30" s="429"/>
      <c r="J30" s="429"/>
      <c r="K30" s="429"/>
      <c r="L30" s="429"/>
      <c r="M30" s="429"/>
      <c r="N30" s="429"/>
      <c r="O30" s="408"/>
    </row>
    <row r="31" spans="1:15" s="344" customFormat="1" ht="13.5">
      <c r="A31" s="343" t="str">
        <f>+A1</f>
        <v>"Master Template" School District</v>
      </c>
      <c r="B31" s="409"/>
      <c r="C31" s="409"/>
      <c r="D31" s="409"/>
      <c r="E31" s="409"/>
      <c r="F31" s="409"/>
      <c r="G31" s="409"/>
      <c r="H31" s="409"/>
      <c r="I31" s="409"/>
      <c r="J31" s="409"/>
      <c r="K31" s="409"/>
      <c r="L31" s="409"/>
      <c r="M31" s="409"/>
      <c r="N31" s="409"/>
      <c r="O31" s="340"/>
    </row>
    <row r="32" spans="1:15" s="344" customFormat="1" ht="13.5">
      <c r="A32" s="343" t="s">
        <v>74</v>
      </c>
      <c r="B32" s="409"/>
      <c r="C32" s="409"/>
      <c r="D32" s="409"/>
      <c r="E32" s="409"/>
      <c r="F32" s="409"/>
      <c r="G32" s="409"/>
      <c r="H32" s="409"/>
      <c r="I32" s="409"/>
      <c r="J32" s="409"/>
      <c r="K32" s="409"/>
      <c r="L32" s="409"/>
      <c r="M32" s="409"/>
      <c r="N32" s="409"/>
      <c r="O32" s="340"/>
    </row>
    <row r="33" spans="1:15" s="344" customFormat="1" ht="13.5">
      <c r="A33" s="343"/>
      <c r="B33" s="409"/>
      <c r="C33" s="409"/>
      <c r="D33" s="409"/>
      <c r="E33" s="409"/>
      <c r="F33" s="409"/>
      <c r="G33" s="409"/>
      <c r="H33" s="409"/>
      <c r="I33" s="409"/>
      <c r="J33" s="409"/>
      <c r="K33" s="409"/>
      <c r="L33" s="409"/>
      <c r="M33" s="409"/>
      <c r="N33" s="409"/>
      <c r="O33" s="340"/>
    </row>
    <row r="34" spans="1:15" s="344" customFormat="1" ht="42">
      <c r="A34" s="345" t="s">
        <v>18</v>
      </c>
      <c r="B34" s="410" t="s">
        <v>180</v>
      </c>
      <c r="C34" s="410" t="s">
        <v>182</v>
      </c>
      <c r="D34" s="410" t="s">
        <v>183</v>
      </c>
      <c r="E34" s="410" t="s">
        <v>184</v>
      </c>
      <c r="F34" s="410" t="s">
        <v>185</v>
      </c>
      <c r="G34" s="410" t="s">
        <v>205</v>
      </c>
      <c r="H34" s="410" t="s">
        <v>206</v>
      </c>
      <c r="I34" s="410" t="s">
        <v>207</v>
      </c>
      <c r="J34" s="410" t="s">
        <v>253</v>
      </c>
      <c r="K34" s="410" t="s">
        <v>254</v>
      </c>
      <c r="L34" s="410" t="s">
        <v>255</v>
      </c>
      <c r="M34" s="411" t="s">
        <v>19</v>
      </c>
      <c r="N34" s="410" t="s">
        <v>149</v>
      </c>
      <c r="O34" s="340" t="s">
        <v>96</v>
      </c>
    </row>
    <row r="35" spans="1:15" s="344" customFormat="1" ht="13.5">
      <c r="A35" s="343" t="s">
        <v>20</v>
      </c>
      <c r="B35" s="409">
        <v>3134571.85</v>
      </c>
      <c r="C35" s="409">
        <v>2657229.89</v>
      </c>
      <c r="D35" s="409">
        <v>1594390.07</v>
      </c>
      <c r="E35" s="409">
        <v>-660325.86</v>
      </c>
      <c r="F35" s="409">
        <v>337663.89</v>
      </c>
      <c r="G35" s="409">
        <v>1550419.75</v>
      </c>
      <c r="H35" s="409">
        <v>5436637.44</v>
      </c>
      <c r="I35" s="409">
        <v>5525794.62</v>
      </c>
      <c r="J35" s="409">
        <v>2677890.38</v>
      </c>
      <c r="K35" s="409">
        <v>2702756.67</v>
      </c>
      <c r="L35" s="409">
        <v>5708893.61</v>
      </c>
      <c r="M35" s="409">
        <v>3344352.22</v>
      </c>
      <c r="N35" s="409">
        <v>3134571.85</v>
      </c>
      <c r="O35" s="340"/>
    </row>
    <row r="36" spans="1:15" s="344" customFormat="1" ht="15">
      <c r="A36" s="358" t="s">
        <v>131</v>
      </c>
      <c r="B36" s="430"/>
      <c r="C36" s="430"/>
      <c r="D36" s="430"/>
      <c r="E36" s="430"/>
      <c r="F36" s="430"/>
      <c r="G36" s="430"/>
      <c r="H36" s="430"/>
      <c r="I36" s="430"/>
      <c r="J36" s="430"/>
      <c r="K36" s="430"/>
      <c r="L36" s="430"/>
      <c r="M36" s="430"/>
      <c r="N36" s="430"/>
      <c r="O36" s="340"/>
    </row>
    <row r="37" spans="1:15" s="344" customFormat="1" ht="13.5">
      <c r="A37" s="343" t="s">
        <v>117</v>
      </c>
      <c r="B37" s="409"/>
      <c r="C37" s="409"/>
      <c r="D37" s="409"/>
      <c r="E37" s="409"/>
      <c r="F37" s="409"/>
      <c r="G37" s="409"/>
      <c r="H37" s="409"/>
      <c r="I37" s="409"/>
      <c r="J37" s="409"/>
      <c r="K37" s="409"/>
      <c r="L37" s="409"/>
      <c r="M37" s="409"/>
      <c r="N37" s="409"/>
      <c r="O37" s="340"/>
    </row>
    <row r="38" spans="1:15" s="344" customFormat="1" ht="15">
      <c r="A38" s="358" t="s">
        <v>45</v>
      </c>
      <c r="B38" s="431"/>
      <c r="C38" s="431"/>
      <c r="D38" s="431"/>
      <c r="E38" s="431"/>
      <c r="F38" s="431"/>
      <c r="G38" s="431"/>
      <c r="H38" s="431"/>
      <c r="I38" s="431"/>
      <c r="J38" s="431"/>
      <c r="K38" s="431"/>
      <c r="L38" s="431"/>
      <c r="M38" s="431"/>
      <c r="N38" s="431"/>
      <c r="O38" s="340"/>
    </row>
    <row r="39" spans="1:15" s="344" customFormat="1" ht="15">
      <c r="A39" s="358" t="s">
        <v>46</v>
      </c>
      <c r="B39" s="430">
        <v>39701.3</v>
      </c>
      <c r="C39" s="430">
        <v>21985.91</v>
      </c>
      <c r="D39" s="430">
        <v>0</v>
      </c>
      <c r="E39" s="430">
        <v>1196008.24</v>
      </c>
      <c r="F39" s="430">
        <v>1719206.37</v>
      </c>
      <c r="G39" s="430">
        <v>5481663.56</v>
      </c>
      <c r="H39" s="430">
        <v>1859767.76</v>
      </c>
      <c r="I39" s="430">
        <v>47064.62</v>
      </c>
      <c r="J39" s="430">
        <v>2070839.12</v>
      </c>
      <c r="K39" s="430">
        <v>5192947.44</v>
      </c>
      <c r="L39" s="430">
        <v>268436.73</v>
      </c>
      <c r="M39" s="430">
        <v>2643705.92</v>
      </c>
      <c r="N39" s="430">
        <v>20541326.97</v>
      </c>
      <c r="O39" s="412">
        <f aca="true" t="shared" si="7" ref="O39:O46">+N39-SUM(B39:M39)</f>
        <v>0</v>
      </c>
    </row>
    <row r="40" spans="1:15" s="344" customFormat="1" ht="15">
      <c r="A40" s="358" t="s">
        <v>47</v>
      </c>
      <c r="B40" s="430">
        <v>-50696.88</v>
      </c>
      <c r="C40" s="430">
        <v>181490.08</v>
      </c>
      <c r="D40" s="430">
        <v>138252.73</v>
      </c>
      <c r="E40" s="430">
        <v>118222.34</v>
      </c>
      <c r="F40" s="430">
        <v>183442.86</v>
      </c>
      <c r="G40" s="430">
        <v>366885.72</v>
      </c>
      <c r="H40" s="430">
        <v>237753.86</v>
      </c>
      <c r="I40" s="430">
        <v>34291.96</v>
      </c>
      <c r="J40" s="430">
        <v>0</v>
      </c>
      <c r="K40" s="430">
        <v>546588.77</v>
      </c>
      <c r="L40" s="430">
        <v>62827.44</v>
      </c>
      <c r="M40" s="430">
        <v>966473.55</v>
      </c>
      <c r="N40" s="430">
        <v>2785532.43</v>
      </c>
      <c r="O40" s="412">
        <f t="shared" si="7"/>
        <v>0</v>
      </c>
    </row>
    <row r="41" spans="1:15" s="358" customFormat="1" ht="15">
      <c r="A41" s="358" t="s">
        <v>48</v>
      </c>
      <c r="B41" s="430">
        <v>5756.02</v>
      </c>
      <c r="C41" s="430">
        <v>4462.15</v>
      </c>
      <c r="D41" s="430">
        <v>5645.56</v>
      </c>
      <c r="E41" s="430">
        <v>3795.93</v>
      </c>
      <c r="F41" s="430">
        <v>5609.53</v>
      </c>
      <c r="G41" s="430">
        <v>5596.73</v>
      </c>
      <c r="H41" s="430">
        <v>59150.18</v>
      </c>
      <c r="I41" s="430">
        <v>5810.66</v>
      </c>
      <c r="J41" s="430">
        <v>7313.38</v>
      </c>
      <c r="K41" s="430">
        <v>5908.16</v>
      </c>
      <c r="L41" s="430">
        <v>28470.01</v>
      </c>
      <c r="M41" s="430">
        <v>1230686.69</v>
      </c>
      <c r="N41" s="430">
        <v>1368205</v>
      </c>
      <c r="O41" s="412">
        <f t="shared" si="7"/>
        <v>0</v>
      </c>
    </row>
    <row r="42" spans="1:15" s="358" customFormat="1" ht="15">
      <c r="A42" s="358" t="s">
        <v>49</v>
      </c>
      <c r="B42" s="430">
        <v>30611</v>
      </c>
      <c r="C42" s="430">
        <v>5168</v>
      </c>
      <c r="D42" s="430">
        <v>896453.9</v>
      </c>
      <c r="E42" s="430">
        <v>170</v>
      </c>
      <c r="F42" s="430">
        <v>19830</v>
      </c>
      <c r="G42" s="430">
        <v>263550.25</v>
      </c>
      <c r="H42" s="430">
        <v>55632.75</v>
      </c>
      <c r="I42" s="430">
        <v>-775332.75</v>
      </c>
      <c r="J42" s="430">
        <v>500239.91</v>
      </c>
      <c r="K42" s="430">
        <v>30220</v>
      </c>
      <c r="L42" s="430">
        <v>414957.28</v>
      </c>
      <c r="M42" s="430">
        <v>697121.3</v>
      </c>
      <c r="N42" s="430">
        <v>2138621.64</v>
      </c>
      <c r="O42" s="412">
        <f t="shared" si="7"/>
        <v>0</v>
      </c>
    </row>
    <row r="43" spans="1:15" s="358" customFormat="1" ht="15">
      <c r="A43" s="358" t="s">
        <v>50</v>
      </c>
      <c r="B43" s="430">
        <v>310384.07</v>
      </c>
      <c r="C43" s="430">
        <v>-12520.07</v>
      </c>
      <c r="D43" s="430">
        <v>7547.65</v>
      </c>
      <c r="E43" s="430">
        <v>162382.67</v>
      </c>
      <c r="F43" s="430">
        <v>56415.09</v>
      </c>
      <c r="G43" s="430">
        <v>746510.77</v>
      </c>
      <c r="H43" s="430">
        <v>582388.1</v>
      </c>
      <c r="I43" s="430">
        <v>172964.44</v>
      </c>
      <c r="J43" s="430">
        <v>551836.07</v>
      </c>
      <c r="K43" s="430">
        <v>381196.67</v>
      </c>
      <c r="L43" s="430">
        <v>142181.62</v>
      </c>
      <c r="M43" s="430">
        <v>1378544.65</v>
      </c>
      <c r="N43" s="430">
        <v>4479831.73</v>
      </c>
      <c r="O43" s="412">
        <f t="shared" si="7"/>
        <v>0</v>
      </c>
    </row>
    <row r="44" spans="1:15" s="358" customFormat="1" ht="15">
      <c r="A44" s="358" t="s">
        <v>51</v>
      </c>
      <c r="B44" s="430">
        <v>50</v>
      </c>
      <c r="C44" s="430">
        <v>27756.51</v>
      </c>
      <c r="D44" s="430">
        <v>121755.85</v>
      </c>
      <c r="E44" s="430">
        <v>284013.32</v>
      </c>
      <c r="F44" s="430">
        <v>170917.21</v>
      </c>
      <c r="G44" s="430">
        <v>263797.01</v>
      </c>
      <c r="H44" s="430">
        <v>841584.58</v>
      </c>
      <c r="I44" s="430">
        <v>61241.53</v>
      </c>
      <c r="J44" s="430">
        <v>25801.52</v>
      </c>
      <c r="K44" s="430">
        <v>183638.14</v>
      </c>
      <c r="L44" s="430">
        <v>112656.88</v>
      </c>
      <c r="M44" s="430">
        <v>1156826.5</v>
      </c>
      <c r="N44" s="430">
        <v>3250039.05</v>
      </c>
      <c r="O44" s="412">
        <f t="shared" si="7"/>
        <v>0</v>
      </c>
    </row>
    <row r="45" spans="1:15" s="358" customFormat="1" ht="15">
      <c r="A45" s="358" t="s">
        <v>128</v>
      </c>
      <c r="B45" s="430">
        <v>0</v>
      </c>
      <c r="C45" s="430">
        <v>0</v>
      </c>
      <c r="D45" s="430">
        <v>0</v>
      </c>
      <c r="E45" s="430">
        <v>2500000</v>
      </c>
      <c r="F45" s="430">
        <v>2000000</v>
      </c>
      <c r="G45" s="430">
        <v>0</v>
      </c>
      <c r="H45" s="430">
        <v>0</v>
      </c>
      <c r="I45" s="430">
        <v>0</v>
      </c>
      <c r="J45" s="430">
        <v>0</v>
      </c>
      <c r="K45" s="430">
        <v>0</v>
      </c>
      <c r="L45" s="430">
        <v>0</v>
      </c>
      <c r="M45" s="430">
        <v>-1494005.58</v>
      </c>
      <c r="N45" s="430">
        <v>3005994.42</v>
      </c>
      <c r="O45" s="412">
        <f t="shared" si="7"/>
        <v>0</v>
      </c>
    </row>
    <row r="46" spans="1:15" s="358" customFormat="1" ht="18">
      <c r="A46" s="358" t="s">
        <v>129</v>
      </c>
      <c r="B46" s="413">
        <v>0</v>
      </c>
      <c r="C46" s="413">
        <v>0</v>
      </c>
      <c r="D46" s="413">
        <v>0</v>
      </c>
      <c r="E46" s="413">
        <v>0</v>
      </c>
      <c r="F46" s="413">
        <v>0</v>
      </c>
      <c r="G46" s="413">
        <v>0</v>
      </c>
      <c r="H46" s="413">
        <v>0</v>
      </c>
      <c r="I46" s="413">
        <v>0</v>
      </c>
      <c r="J46" s="413">
        <v>0</v>
      </c>
      <c r="K46" s="413">
        <v>0</v>
      </c>
      <c r="L46" s="413">
        <v>0</v>
      </c>
      <c r="M46" s="413">
        <v>0</v>
      </c>
      <c r="N46" s="413">
        <v>0</v>
      </c>
      <c r="O46" s="412">
        <f t="shared" si="7"/>
        <v>0</v>
      </c>
    </row>
    <row r="47" spans="1:15" s="358" customFormat="1" ht="15">
      <c r="A47" s="343" t="s">
        <v>130</v>
      </c>
      <c r="B47" s="409">
        <f aca="true" t="shared" si="8" ref="B47:N47">SUM(B39:B46)</f>
        <v>335805.51</v>
      </c>
      <c r="C47" s="409">
        <f t="shared" si="8"/>
        <v>228342.58</v>
      </c>
      <c r="D47" s="409">
        <f t="shared" si="8"/>
        <v>1169655.6900000002</v>
      </c>
      <c r="E47" s="409">
        <f t="shared" si="8"/>
        <v>4264592.5</v>
      </c>
      <c r="F47" s="409">
        <f t="shared" si="8"/>
        <v>4155421.06</v>
      </c>
      <c r="G47" s="409">
        <f t="shared" si="8"/>
        <v>7128004.039999999</v>
      </c>
      <c r="H47" s="409">
        <f t="shared" si="8"/>
        <v>3636277.2300000004</v>
      </c>
      <c r="I47" s="409">
        <f t="shared" si="8"/>
        <v>-453959.54000000004</v>
      </c>
      <c r="J47" s="409">
        <f t="shared" si="8"/>
        <v>3156030</v>
      </c>
      <c r="K47" s="409">
        <f t="shared" si="8"/>
        <v>6340499.180000001</v>
      </c>
      <c r="L47" s="409">
        <f t="shared" si="8"/>
        <v>1029529.96</v>
      </c>
      <c r="M47" s="409">
        <f t="shared" si="8"/>
        <v>6579353.029999999</v>
      </c>
      <c r="N47" s="409">
        <f t="shared" si="8"/>
        <v>37569551.24</v>
      </c>
      <c r="O47" s="414"/>
    </row>
    <row r="48" spans="1:15" s="358" customFormat="1" ht="15">
      <c r="A48" s="358" t="s">
        <v>131</v>
      </c>
      <c r="B48" s="430"/>
      <c r="C48" s="430"/>
      <c r="D48" s="430"/>
      <c r="E48" s="430"/>
      <c r="F48" s="430"/>
      <c r="G48" s="430"/>
      <c r="H48" s="430"/>
      <c r="I48" s="430"/>
      <c r="J48" s="430"/>
      <c r="K48" s="430"/>
      <c r="L48" s="430"/>
      <c r="M48" s="430"/>
      <c r="N48" s="430"/>
      <c r="O48" s="432"/>
    </row>
    <row r="49" spans="1:15" s="358" customFormat="1" ht="15">
      <c r="A49" s="343" t="s">
        <v>59</v>
      </c>
      <c r="B49" s="409"/>
      <c r="C49" s="409"/>
      <c r="D49" s="409"/>
      <c r="E49" s="409"/>
      <c r="F49" s="409"/>
      <c r="G49" s="409"/>
      <c r="H49" s="409"/>
      <c r="I49" s="409"/>
      <c r="J49" s="409"/>
      <c r="K49" s="409"/>
      <c r="L49" s="409"/>
      <c r="M49" s="409"/>
      <c r="N49" s="409"/>
      <c r="O49" s="414"/>
    </row>
    <row r="50" spans="1:15" s="358" customFormat="1" ht="15">
      <c r="A50" s="358" t="s">
        <v>60</v>
      </c>
      <c r="B50" s="430">
        <v>176684.8</v>
      </c>
      <c r="C50" s="430">
        <v>216051</v>
      </c>
      <c r="D50" s="430">
        <v>2241918.95</v>
      </c>
      <c r="E50" s="430">
        <v>1831735.67</v>
      </c>
      <c r="F50" s="430">
        <v>1844603.14</v>
      </c>
      <c r="G50" s="430">
        <v>1879545.33</v>
      </c>
      <c r="H50" s="430">
        <v>1868002.88</v>
      </c>
      <c r="I50" s="430">
        <v>1844240.31</v>
      </c>
      <c r="J50" s="430">
        <v>1864350.47</v>
      </c>
      <c r="K50" s="430">
        <v>1854301.58</v>
      </c>
      <c r="L50" s="430">
        <v>1822525.87</v>
      </c>
      <c r="M50" s="430">
        <v>1989671.33</v>
      </c>
      <c r="N50" s="430">
        <v>19433631.33</v>
      </c>
      <c r="O50" s="412">
        <f aca="true" t="shared" si="9" ref="O50:O59">+N50-SUM(B50:M50)</f>
        <v>0</v>
      </c>
    </row>
    <row r="51" spans="1:15" s="358" customFormat="1" ht="15">
      <c r="A51" s="358" t="s">
        <v>61</v>
      </c>
      <c r="B51" s="430">
        <v>189798.74</v>
      </c>
      <c r="C51" s="430">
        <v>241757.36</v>
      </c>
      <c r="D51" s="430">
        <v>370452.33</v>
      </c>
      <c r="E51" s="430">
        <v>377342.34</v>
      </c>
      <c r="F51" s="430">
        <v>385540.72</v>
      </c>
      <c r="G51" s="430">
        <v>384286.25</v>
      </c>
      <c r="H51" s="430">
        <v>428690.96</v>
      </c>
      <c r="I51" s="430">
        <v>396948.25</v>
      </c>
      <c r="J51" s="430">
        <v>490117.63</v>
      </c>
      <c r="K51" s="430">
        <v>414180.01</v>
      </c>
      <c r="L51" s="430">
        <v>395834.06</v>
      </c>
      <c r="M51" s="430">
        <v>461432.58</v>
      </c>
      <c r="N51" s="430">
        <v>4536381.23</v>
      </c>
      <c r="O51" s="412">
        <f t="shared" si="9"/>
        <v>0</v>
      </c>
    </row>
    <row r="52" spans="1:15" s="358" customFormat="1" ht="15">
      <c r="A52" s="358" t="s">
        <v>62</v>
      </c>
      <c r="B52" s="430">
        <v>276935.26</v>
      </c>
      <c r="C52" s="430">
        <v>290044.76</v>
      </c>
      <c r="D52" s="430">
        <v>579564.63</v>
      </c>
      <c r="E52" s="430">
        <v>541902.41</v>
      </c>
      <c r="F52" s="430">
        <v>546720.39</v>
      </c>
      <c r="G52" s="430">
        <v>547737.33</v>
      </c>
      <c r="H52" s="430">
        <v>562108.52</v>
      </c>
      <c r="I52" s="430">
        <v>558533.63</v>
      </c>
      <c r="J52" s="430">
        <v>581427.62</v>
      </c>
      <c r="K52" s="430">
        <v>586275.96</v>
      </c>
      <c r="L52" s="430">
        <v>556858.95</v>
      </c>
      <c r="M52" s="430">
        <v>605387.57</v>
      </c>
      <c r="N52" s="430">
        <v>6233497.03</v>
      </c>
      <c r="O52" s="412">
        <f t="shared" si="9"/>
        <v>0</v>
      </c>
    </row>
    <row r="53" spans="1:15" s="358" customFormat="1" ht="15">
      <c r="A53" s="358" t="s">
        <v>63</v>
      </c>
      <c r="B53" s="430">
        <v>21869.55</v>
      </c>
      <c r="C53" s="430">
        <v>129212.28</v>
      </c>
      <c r="D53" s="430">
        <v>119504.96</v>
      </c>
      <c r="E53" s="430">
        <v>66958.78</v>
      </c>
      <c r="F53" s="430">
        <v>142640.73</v>
      </c>
      <c r="G53" s="430">
        <v>154610.9</v>
      </c>
      <c r="H53" s="430">
        <v>104871.86</v>
      </c>
      <c r="I53" s="430">
        <v>118303.63</v>
      </c>
      <c r="J53" s="430">
        <v>90285.53</v>
      </c>
      <c r="K53" s="430">
        <v>134695.25</v>
      </c>
      <c r="L53" s="430">
        <v>160419.11</v>
      </c>
      <c r="M53" s="430">
        <v>323469.65</v>
      </c>
      <c r="N53" s="430">
        <v>1566842.23</v>
      </c>
      <c r="O53" s="412">
        <f t="shared" si="9"/>
        <v>0</v>
      </c>
    </row>
    <row r="54" spans="1:15" s="358" customFormat="1" ht="15">
      <c r="A54" s="358" t="s">
        <v>64</v>
      </c>
      <c r="B54" s="430">
        <v>81941.95</v>
      </c>
      <c r="C54" s="430">
        <v>270545.79</v>
      </c>
      <c r="D54" s="430">
        <v>321738</v>
      </c>
      <c r="E54" s="430">
        <v>293420.92</v>
      </c>
      <c r="F54" s="430">
        <v>328692.59</v>
      </c>
      <c r="G54" s="430">
        <v>282958.01</v>
      </c>
      <c r="H54" s="430">
        <v>363428.43</v>
      </c>
      <c r="I54" s="430">
        <v>293362.05</v>
      </c>
      <c r="J54" s="430">
        <v>253013.04</v>
      </c>
      <c r="K54" s="430">
        <v>365757.28</v>
      </c>
      <c r="L54" s="430">
        <v>338658.12</v>
      </c>
      <c r="M54" s="430">
        <v>777252.05</v>
      </c>
      <c r="N54" s="430">
        <v>3970768.23</v>
      </c>
      <c r="O54" s="412">
        <f t="shared" si="9"/>
        <v>0</v>
      </c>
    </row>
    <row r="55" spans="1:15" s="358" customFormat="1" ht="15">
      <c r="A55" s="358" t="s">
        <v>65</v>
      </c>
      <c r="B55" s="430">
        <v>160</v>
      </c>
      <c r="C55" s="430">
        <v>16256</v>
      </c>
      <c r="D55" s="430">
        <v>3624.29</v>
      </c>
      <c r="E55" s="430">
        <v>13584.9</v>
      </c>
      <c r="F55" s="430">
        <v>0</v>
      </c>
      <c r="G55" s="430">
        <v>14092.22</v>
      </c>
      <c r="H55" s="430">
        <v>98069.88</v>
      </c>
      <c r="I55" s="430">
        <v>22811.4</v>
      </c>
      <c r="J55" s="430">
        <v>15985.7</v>
      </c>
      <c r="K55" s="430">
        <v>72071.02</v>
      </c>
      <c r="L55" s="430">
        <v>6920.51</v>
      </c>
      <c r="M55" s="430">
        <v>273157.97</v>
      </c>
      <c r="N55" s="430">
        <v>536733.89</v>
      </c>
      <c r="O55" s="412">
        <f t="shared" si="9"/>
        <v>0</v>
      </c>
    </row>
    <row r="56" spans="1:15" s="358" customFormat="1" ht="15">
      <c r="A56" s="358" t="s">
        <v>66</v>
      </c>
      <c r="B56" s="430">
        <v>-9043.33</v>
      </c>
      <c r="C56" s="430">
        <v>200003.82</v>
      </c>
      <c r="D56" s="430">
        <v>0</v>
      </c>
      <c r="E56" s="430">
        <v>0</v>
      </c>
      <c r="F56" s="430">
        <v>34861.99</v>
      </c>
      <c r="G56" s="430">
        <v>0</v>
      </c>
      <c r="H56" s="430">
        <v>99693.5</v>
      </c>
      <c r="I56" s="430">
        <v>9727.67</v>
      </c>
      <c r="J56" s="430">
        <v>0</v>
      </c>
      <c r="K56" s="430">
        <v>0</v>
      </c>
      <c r="L56" s="430">
        <v>11606.14</v>
      </c>
      <c r="M56" s="430">
        <v>1329636.54</v>
      </c>
      <c r="N56" s="430">
        <v>1676486.33</v>
      </c>
      <c r="O56" s="412">
        <f t="shared" si="9"/>
        <v>0</v>
      </c>
    </row>
    <row r="57" spans="1:15" s="358" customFormat="1" ht="15">
      <c r="A57" s="358" t="s">
        <v>67</v>
      </c>
      <c r="B57" s="430">
        <v>0</v>
      </c>
      <c r="C57" s="430">
        <v>0</v>
      </c>
      <c r="D57" s="430">
        <v>0</v>
      </c>
      <c r="E57" s="430">
        <v>52000</v>
      </c>
      <c r="F57" s="430">
        <v>0</v>
      </c>
      <c r="G57" s="430">
        <v>0</v>
      </c>
      <c r="H57" s="430">
        <v>0</v>
      </c>
      <c r="I57" s="430">
        <v>0</v>
      </c>
      <c r="J57" s="430">
        <v>0</v>
      </c>
      <c r="K57" s="430">
        <v>0</v>
      </c>
      <c r="L57" s="430">
        <v>20000</v>
      </c>
      <c r="M57" s="430">
        <v>218263.91</v>
      </c>
      <c r="N57" s="430">
        <v>290263.91</v>
      </c>
      <c r="O57" s="412">
        <f t="shared" si="9"/>
        <v>0</v>
      </c>
    </row>
    <row r="58" spans="1:15" s="358" customFormat="1" ht="15">
      <c r="A58" s="358" t="s">
        <v>68</v>
      </c>
      <c r="B58" s="430">
        <v>0</v>
      </c>
      <c r="C58" s="430">
        <v>0</v>
      </c>
      <c r="D58" s="430">
        <v>0</v>
      </c>
      <c r="E58" s="430">
        <v>0</v>
      </c>
      <c r="F58" s="430">
        <v>0</v>
      </c>
      <c r="G58" s="430">
        <v>0</v>
      </c>
      <c r="H58" s="430">
        <v>0</v>
      </c>
      <c r="I58" s="430">
        <v>0</v>
      </c>
      <c r="J58" s="430">
        <v>0</v>
      </c>
      <c r="K58" s="430">
        <v>0</v>
      </c>
      <c r="L58" s="430">
        <v>0</v>
      </c>
      <c r="M58" s="430">
        <v>0</v>
      </c>
      <c r="N58" s="430">
        <v>0</v>
      </c>
      <c r="O58" s="412">
        <f t="shared" si="9"/>
        <v>0</v>
      </c>
    </row>
    <row r="59" spans="1:15" s="358" customFormat="1" ht="18">
      <c r="A59" s="358" t="s">
        <v>8</v>
      </c>
      <c r="B59" s="413">
        <v>0</v>
      </c>
      <c r="C59" s="413">
        <v>0</v>
      </c>
      <c r="D59" s="413">
        <v>0</v>
      </c>
      <c r="E59" s="413">
        <v>0</v>
      </c>
      <c r="F59" s="413">
        <v>0</v>
      </c>
      <c r="G59" s="413">
        <v>0</v>
      </c>
      <c r="H59" s="413">
        <v>0</v>
      </c>
      <c r="I59" s="413">
        <v>0</v>
      </c>
      <c r="J59" s="413">
        <v>0</v>
      </c>
      <c r="K59" s="413">
        <v>0</v>
      </c>
      <c r="L59" s="413">
        <v>0</v>
      </c>
      <c r="M59" s="413">
        <v>0</v>
      </c>
      <c r="N59" s="413">
        <v>0</v>
      </c>
      <c r="O59" s="412">
        <f t="shared" si="9"/>
        <v>0</v>
      </c>
    </row>
    <row r="60" spans="1:15" s="358" customFormat="1" ht="15">
      <c r="A60" s="343" t="s">
        <v>153</v>
      </c>
      <c r="B60" s="409">
        <f aca="true" t="shared" si="10" ref="B60:N60">SUM(B50:B59)</f>
        <v>738346.9700000001</v>
      </c>
      <c r="C60" s="409">
        <f t="shared" si="10"/>
        <v>1363871.01</v>
      </c>
      <c r="D60" s="409">
        <f t="shared" si="10"/>
        <v>3636803.16</v>
      </c>
      <c r="E60" s="409">
        <f t="shared" si="10"/>
        <v>3176945.0199999996</v>
      </c>
      <c r="F60" s="409">
        <f t="shared" si="10"/>
        <v>3283059.56</v>
      </c>
      <c r="G60" s="409">
        <f t="shared" si="10"/>
        <v>3263230.0400000005</v>
      </c>
      <c r="H60" s="409">
        <f t="shared" si="10"/>
        <v>3524866.03</v>
      </c>
      <c r="I60" s="409">
        <f t="shared" si="10"/>
        <v>3243926.9399999995</v>
      </c>
      <c r="J60" s="409">
        <f t="shared" si="10"/>
        <v>3295179.99</v>
      </c>
      <c r="K60" s="409">
        <f t="shared" si="10"/>
        <v>3427281.1</v>
      </c>
      <c r="L60" s="409">
        <f t="shared" si="10"/>
        <v>3312822.76</v>
      </c>
      <c r="M60" s="409">
        <f t="shared" si="10"/>
        <v>5978271.6</v>
      </c>
      <c r="N60" s="409">
        <f t="shared" si="10"/>
        <v>38244604.17999999</v>
      </c>
      <c r="O60" s="356"/>
    </row>
    <row r="61" spans="1:15" s="358" customFormat="1" ht="15">
      <c r="A61" s="358" t="s">
        <v>131</v>
      </c>
      <c r="B61" s="430"/>
      <c r="C61" s="430"/>
      <c r="D61" s="430"/>
      <c r="E61" s="430"/>
      <c r="F61" s="430"/>
      <c r="G61" s="430"/>
      <c r="H61" s="430"/>
      <c r="I61" s="430"/>
      <c r="J61" s="430"/>
      <c r="K61" s="430"/>
      <c r="L61" s="430"/>
      <c r="M61" s="430"/>
      <c r="N61" s="430"/>
      <c r="O61" s="356"/>
    </row>
    <row r="62" spans="1:15" s="358" customFormat="1" ht="15">
      <c r="A62" s="343" t="s">
        <v>21</v>
      </c>
      <c r="B62" s="409">
        <f aca="true" t="shared" si="11" ref="B62:N62">+B47-B60</f>
        <v>-402541.4600000001</v>
      </c>
      <c r="C62" s="409">
        <f t="shared" si="11"/>
        <v>-1135528.43</v>
      </c>
      <c r="D62" s="409">
        <f t="shared" si="11"/>
        <v>-2467147.4699999997</v>
      </c>
      <c r="E62" s="409">
        <f t="shared" si="11"/>
        <v>1087647.4800000004</v>
      </c>
      <c r="F62" s="409">
        <f t="shared" si="11"/>
        <v>872361.5</v>
      </c>
      <c r="G62" s="409">
        <f t="shared" si="11"/>
        <v>3864773.9999999986</v>
      </c>
      <c r="H62" s="409">
        <f t="shared" si="11"/>
        <v>111411.20000000065</v>
      </c>
      <c r="I62" s="409">
        <f t="shared" si="11"/>
        <v>-3697886.4799999995</v>
      </c>
      <c r="J62" s="409">
        <f t="shared" si="11"/>
        <v>-139149.99000000022</v>
      </c>
      <c r="K62" s="409">
        <f t="shared" si="11"/>
        <v>2913218.0800000005</v>
      </c>
      <c r="L62" s="409">
        <f t="shared" si="11"/>
        <v>-2283292.8</v>
      </c>
      <c r="M62" s="409">
        <f t="shared" si="11"/>
        <v>601081.4299999997</v>
      </c>
      <c r="N62" s="409">
        <f t="shared" si="11"/>
        <v>-675052.9399999902</v>
      </c>
      <c r="O62" s="356"/>
    </row>
    <row r="63" spans="1:15" s="358" customFormat="1" ht="15">
      <c r="A63" s="358" t="s">
        <v>131</v>
      </c>
      <c r="B63" s="430"/>
      <c r="C63" s="430"/>
      <c r="D63" s="430"/>
      <c r="E63" s="430"/>
      <c r="F63" s="430"/>
      <c r="G63" s="430"/>
      <c r="H63" s="430"/>
      <c r="I63" s="430"/>
      <c r="J63" s="430"/>
      <c r="K63" s="430"/>
      <c r="L63" s="430"/>
      <c r="M63" s="430"/>
      <c r="N63" s="430"/>
      <c r="O63" s="356"/>
    </row>
    <row r="64" spans="1:15" s="358" customFormat="1" ht="15">
      <c r="A64" s="343" t="s">
        <v>22</v>
      </c>
      <c r="B64" s="409"/>
      <c r="C64" s="409"/>
      <c r="D64" s="409"/>
      <c r="E64" s="409"/>
      <c r="F64" s="409"/>
      <c r="G64" s="409"/>
      <c r="H64" s="409"/>
      <c r="I64" s="409"/>
      <c r="J64" s="409"/>
      <c r="K64" s="409"/>
      <c r="L64" s="409"/>
      <c r="M64" s="409"/>
      <c r="N64" s="409"/>
      <c r="O64" s="356"/>
    </row>
    <row r="65" spans="1:15" s="358" customFormat="1" ht="15">
      <c r="A65" s="358" t="s">
        <v>23</v>
      </c>
      <c r="B65" s="430">
        <v>343556.14</v>
      </c>
      <c r="C65" s="430">
        <v>4352205.72</v>
      </c>
      <c r="D65" s="430">
        <v>176419.83</v>
      </c>
      <c r="E65" s="430">
        <v>355534.14</v>
      </c>
      <c r="F65" s="430">
        <v>411527.92</v>
      </c>
      <c r="G65" s="430">
        <v>0</v>
      </c>
      <c r="H65" s="430">
        <v>-662</v>
      </c>
      <c r="I65" s="430">
        <v>23951.25</v>
      </c>
      <c r="J65" s="430">
        <v>175129.25</v>
      </c>
      <c r="K65" s="430">
        <v>12388.58</v>
      </c>
      <c r="L65" s="430">
        <v>-4001751.88</v>
      </c>
      <c r="M65" s="430">
        <v>-3701208.73</v>
      </c>
      <c r="N65" s="430">
        <v>-1852909.78</v>
      </c>
      <c r="O65" s="356"/>
    </row>
    <row r="66" spans="1:15" s="358" customFormat="1" ht="15">
      <c r="A66" s="358" t="s">
        <v>24</v>
      </c>
      <c r="B66" s="430">
        <v>317603.36</v>
      </c>
      <c r="C66" s="430">
        <v>4259384.35</v>
      </c>
      <c r="D66" s="430">
        <v>78576.69</v>
      </c>
      <c r="E66" s="430">
        <v>439231.37</v>
      </c>
      <c r="F66" s="430">
        <v>-2365.18</v>
      </c>
      <c r="G66" s="430">
        <v>-3611.87</v>
      </c>
      <c r="H66" s="430">
        <v>55596.25</v>
      </c>
      <c r="I66" s="430">
        <v>-758734.16</v>
      </c>
      <c r="J66" s="430">
        <v>-650.53</v>
      </c>
      <c r="K66" s="430">
        <v>17599.83</v>
      </c>
      <c r="L66" s="430">
        <v>-4035967.38</v>
      </c>
      <c r="M66" s="430">
        <v>-3236345.91</v>
      </c>
      <c r="N66" s="430">
        <v>-2869683.18</v>
      </c>
      <c r="O66" s="356"/>
    </row>
    <row r="67" spans="1:15" s="358" customFormat="1" ht="18">
      <c r="A67" s="358" t="s">
        <v>88</v>
      </c>
      <c r="B67" s="413">
        <v>100753.28</v>
      </c>
      <c r="C67" s="413">
        <v>20574.76</v>
      </c>
      <c r="D67" s="413">
        <v>-97060.4</v>
      </c>
      <c r="E67" s="413">
        <v>2562.5</v>
      </c>
      <c r="F67" s="413">
        <v>58994.74</v>
      </c>
      <c r="G67" s="413">
        <v>-17831.82</v>
      </c>
      <c r="H67" s="413">
        <v>-33673.23</v>
      </c>
      <c r="I67" s="413">
        <v>-67627.83</v>
      </c>
      <c r="J67" s="413">
        <v>11763.5</v>
      </c>
      <c r="K67" s="413">
        <v>-98130.11</v>
      </c>
      <c r="L67" s="413">
        <v>115464.09</v>
      </c>
      <c r="M67" s="413">
        <v>-27506.27</v>
      </c>
      <c r="N67" s="413">
        <v>-31716.79</v>
      </c>
      <c r="O67" s="356"/>
    </row>
    <row r="68" spans="1:15" s="358" customFormat="1" ht="15">
      <c r="A68" s="343" t="s">
        <v>89</v>
      </c>
      <c r="B68" s="409">
        <f aca="true" t="shared" si="12" ref="B68:N68">+B65-B66-B67</f>
        <v>-74800.49999999997</v>
      </c>
      <c r="C68" s="409">
        <f t="shared" si="12"/>
        <v>72246.61000000012</v>
      </c>
      <c r="D68" s="409">
        <f t="shared" si="12"/>
        <v>194903.53999999998</v>
      </c>
      <c r="E68" s="409">
        <f t="shared" si="12"/>
        <v>-86259.72999999998</v>
      </c>
      <c r="F68" s="409">
        <f t="shared" si="12"/>
        <v>354898.36</v>
      </c>
      <c r="G68" s="409">
        <f t="shared" si="12"/>
        <v>21443.69</v>
      </c>
      <c r="H68" s="409">
        <f t="shared" si="12"/>
        <v>-22585.019999999997</v>
      </c>
      <c r="I68" s="409">
        <f t="shared" si="12"/>
        <v>850313.24</v>
      </c>
      <c r="J68" s="409">
        <f t="shared" si="12"/>
        <v>164016.28</v>
      </c>
      <c r="K68" s="409">
        <f t="shared" si="12"/>
        <v>92918.86</v>
      </c>
      <c r="L68" s="409">
        <f t="shared" si="12"/>
        <v>-81248.59</v>
      </c>
      <c r="M68" s="409">
        <f t="shared" si="12"/>
        <v>-437356.5499999998</v>
      </c>
      <c r="N68" s="409">
        <f t="shared" si="12"/>
        <v>1048490.1900000002</v>
      </c>
      <c r="O68" s="356"/>
    </row>
    <row r="69" spans="1:15" s="358" customFormat="1" ht="15">
      <c r="A69" s="358" t="s">
        <v>131</v>
      </c>
      <c r="B69" s="430"/>
      <c r="C69" s="430"/>
      <c r="D69" s="430"/>
      <c r="E69" s="430"/>
      <c r="F69" s="430"/>
      <c r="G69" s="430"/>
      <c r="H69" s="430"/>
      <c r="I69" s="430"/>
      <c r="J69" s="430"/>
      <c r="K69" s="430"/>
      <c r="L69" s="430"/>
      <c r="M69" s="430"/>
      <c r="N69" s="430"/>
      <c r="O69" s="356"/>
    </row>
    <row r="70" spans="1:15" s="358" customFormat="1" ht="15">
      <c r="A70" s="343" t="s">
        <v>90</v>
      </c>
      <c r="B70" s="409">
        <v>0</v>
      </c>
      <c r="C70" s="409">
        <v>442</v>
      </c>
      <c r="D70" s="409">
        <v>17528</v>
      </c>
      <c r="E70" s="409">
        <v>-3398</v>
      </c>
      <c r="F70" s="409">
        <v>-14504</v>
      </c>
      <c r="G70" s="409">
        <v>0</v>
      </c>
      <c r="H70" s="409">
        <v>331</v>
      </c>
      <c r="I70" s="409">
        <v>-331</v>
      </c>
      <c r="J70" s="409">
        <v>0</v>
      </c>
      <c r="K70" s="409">
        <v>0</v>
      </c>
      <c r="L70" s="409">
        <v>0</v>
      </c>
      <c r="M70" s="409">
        <v>-68</v>
      </c>
      <c r="N70" s="409">
        <v>0</v>
      </c>
      <c r="O70" s="356"/>
    </row>
    <row r="71" spans="1:15" s="358" customFormat="1" ht="15">
      <c r="A71" s="358" t="s">
        <v>131</v>
      </c>
      <c r="B71" s="430"/>
      <c r="C71" s="430"/>
      <c r="D71" s="430"/>
      <c r="E71" s="430"/>
      <c r="F71" s="430"/>
      <c r="G71" s="430"/>
      <c r="H71" s="430"/>
      <c r="I71" s="430"/>
      <c r="J71" s="430"/>
      <c r="K71" s="430"/>
      <c r="L71" s="430"/>
      <c r="M71" s="430"/>
      <c r="N71" s="430"/>
      <c r="O71" s="356"/>
    </row>
    <row r="72" spans="1:15" s="358" customFormat="1" ht="18">
      <c r="A72" s="343" t="s">
        <v>91</v>
      </c>
      <c r="B72" s="415">
        <f aca="true" t="shared" si="13" ref="B72:N72">+B62+B68+B70</f>
        <v>-477341.9600000001</v>
      </c>
      <c r="C72" s="415">
        <f t="shared" si="13"/>
        <v>-1062839.8199999998</v>
      </c>
      <c r="D72" s="415">
        <f t="shared" si="13"/>
        <v>-2254715.9299999997</v>
      </c>
      <c r="E72" s="415">
        <f t="shared" si="13"/>
        <v>997989.7500000005</v>
      </c>
      <c r="F72" s="415">
        <f t="shared" si="13"/>
        <v>1212755.8599999999</v>
      </c>
      <c r="G72" s="415">
        <f t="shared" si="13"/>
        <v>3886217.6899999985</v>
      </c>
      <c r="H72" s="415">
        <f t="shared" si="13"/>
        <v>89157.18000000066</v>
      </c>
      <c r="I72" s="415">
        <f t="shared" si="13"/>
        <v>-2847904.2399999993</v>
      </c>
      <c r="J72" s="415">
        <f t="shared" si="13"/>
        <v>24866.289999999775</v>
      </c>
      <c r="K72" s="415">
        <f t="shared" si="13"/>
        <v>3006136.9400000004</v>
      </c>
      <c r="L72" s="415">
        <f t="shared" si="13"/>
        <v>-2364541.3899999997</v>
      </c>
      <c r="M72" s="415">
        <f t="shared" si="13"/>
        <v>163656.8799999999</v>
      </c>
      <c r="N72" s="415">
        <f t="shared" si="13"/>
        <v>373437.25000001</v>
      </c>
      <c r="O72" s="356"/>
    </row>
    <row r="73" spans="1:15" s="358" customFormat="1" ht="15">
      <c r="A73" s="358" t="s">
        <v>131</v>
      </c>
      <c r="B73" s="430"/>
      <c r="C73" s="430"/>
      <c r="D73" s="430"/>
      <c r="E73" s="430"/>
      <c r="F73" s="430"/>
      <c r="G73" s="430"/>
      <c r="H73" s="430"/>
      <c r="I73" s="430"/>
      <c r="J73" s="430"/>
      <c r="K73" s="430"/>
      <c r="L73" s="430"/>
      <c r="M73" s="430"/>
      <c r="N73" s="430"/>
      <c r="O73" s="356"/>
    </row>
    <row r="74" spans="1:15" s="358" customFormat="1" ht="18">
      <c r="A74" s="343" t="s">
        <v>92</v>
      </c>
      <c r="B74" s="416">
        <v>2657229.89</v>
      </c>
      <c r="C74" s="416">
        <v>1594390.07</v>
      </c>
      <c r="D74" s="416">
        <v>-660325.86</v>
      </c>
      <c r="E74" s="416">
        <v>337663.89</v>
      </c>
      <c r="F74" s="416">
        <v>1550419.75</v>
      </c>
      <c r="G74" s="416">
        <v>5436637.44</v>
      </c>
      <c r="H74" s="416">
        <v>5525794.62</v>
      </c>
      <c r="I74" s="416">
        <v>2677890.38</v>
      </c>
      <c r="J74" s="416">
        <v>2702756.67</v>
      </c>
      <c r="K74" s="416">
        <v>5708893.61</v>
      </c>
      <c r="L74" s="416">
        <v>3344352.22</v>
      </c>
      <c r="M74" s="416">
        <v>3508009.1</v>
      </c>
      <c r="N74" s="416">
        <v>3508009.1</v>
      </c>
      <c r="O74" s="356"/>
    </row>
    <row r="75" spans="1:15" s="358" customFormat="1" ht="15">
      <c r="A75" s="358" t="s">
        <v>93</v>
      </c>
      <c r="B75" s="430">
        <f aca="true" t="shared" si="14" ref="B75:N75">+B35+B72-B74</f>
        <v>0</v>
      </c>
      <c r="C75" s="430">
        <f t="shared" si="14"/>
        <v>0</v>
      </c>
      <c r="D75" s="430">
        <f t="shared" si="14"/>
        <v>0</v>
      </c>
      <c r="E75" s="430">
        <f t="shared" si="14"/>
        <v>4.656612873077393E-10</v>
      </c>
      <c r="F75" s="430">
        <f t="shared" si="14"/>
        <v>0</v>
      </c>
      <c r="G75" s="430">
        <f t="shared" si="14"/>
        <v>0</v>
      </c>
      <c r="H75" s="430">
        <f t="shared" si="14"/>
        <v>0</v>
      </c>
      <c r="I75" s="430">
        <f t="shared" si="14"/>
        <v>0</v>
      </c>
      <c r="J75" s="430">
        <f t="shared" si="14"/>
        <v>0</v>
      </c>
      <c r="K75" s="430">
        <f t="shared" si="14"/>
        <v>0</v>
      </c>
      <c r="L75" s="430">
        <f t="shared" si="14"/>
        <v>0</v>
      </c>
      <c r="M75" s="430">
        <f t="shared" si="14"/>
        <v>0</v>
      </c>
      <c r="N75" s="430">
        <f t="shared" si="14"/>
        <v>9.778887033462524E-09</v>
      </c>
      <c r="O75" s="356"/>
    </row>
    <row r="76" spans="2:15" s="358" customFormat="1" ht="15">
      <c r="B76" s="430"/>
      <c r="C76" s="430"/>
      <c r="D76" s="430"/>
      <c r="E76" s="430"/>
      <c r="F76" s="430"/>
      <c r="G76" s="430"/>
      <c r="H76" s="430"/>
      <c r="I76" s="430"/>
      <c r="J76" s="430"/>
      <c r="K76" s="430"/>
      <c r="L76" s="430"/>
      <c r="M76" s="430"/>
      <c r="N76" s="430"/>
      <c r="O76" s="356"/>
    </row>
    <row r="77" spans="1:15" s="358" customFormat="1" ht="15">
      <c r="A77" s="346" t="s">
        <v>95</v>
      </c>
      <c r="B77" s="345" t="s">
        <v>180</v>
      </c>
      <c r="C77" s="345" t="s">
        <v>182</v>
      </c>
      <c r="D77" s="345" t="s">
        <v>183</v>
      </c>
      <c r="E77" s="345" t="s">
        <v>184</v>
      </c>
      <c r="F77" s="345" t="s">
        <v>185</v>
      </c>
      <c r="G77" s="345" t="s">
        <v>205</v>
      </c>
      <c r="H77" s="345" t="s">
        <v>206</v>
      </c>
      <c r="I77" s="345" t="s">
        <v>207</v>
      </c>
      <c r="J77" s="345" t="s">
        <v>253</v>
      </c>
      <c r="K77" s="345" t="s">
        <v>254</v>
      </c>
      <c r="L77" s="345" t="s">
        <v>255</v>
      </c>
      <c r="M77" s="345" t="s">
        <v>256</v>
      </c>
      <c r="N77" s="345" t="s">
        <v>149</v>
      </c>
      <c r="O77" s="340" t="s">
        <v>96</v>
      </c>
    </row>
    <row r="78" spans="1:15" s="358" customFormat="1" ht="15">
      <c r="A78" s="346" t="s">
        <v>117</v>
      </c>
      <c r="B78" s="417"/>
      <c r="C78" s="417"/>
      <c r="D78" s="417"/>
      <c r="E78" s="417"/>
      <c r="F78" s="417"/>
      <c r="G78" s="417"/>
      <c r="H78" s="417"/>
      <c r="I78" s="417"/>
      <c r="J78" s="417"/>
      <c r="K78" s="417"/>
      <c r="L78" s="417"/>
      <c r="M78" s="417"/>
      <c r="N78" s="417"/>
      <c r="O78" s="356"/>
    </row>
    <row r="79" spans="1:15" s="358" customFormat="1" ht="15">
      <c r="A79" s="344" t="s">
        <v>45</v>
      </c>
      <c r="B79" s="417"/>
      <c r="C79" s="417"/>
      <c r="D79" s="417"/>
      <c r="E79" s="417"/>
      <c r="F79" s="417"/>
      <c r="G79" s="417"/>
      <c r="H79" s="417"/>
      <c r="I79" s="417"/>
      <c r="J79" s="417"/>
      <c r="K79" s="417"/>
      <c r="L79" s="417"/>
      <c r="M79" s="417"/>
      <c r="N79" s="417"/>
      <c r="O79" s="356"/>
    </row>
    <row r="80" spans="1:15" s="358" customFormat="1" ht="15">
      <c r="A80" s="344" t="s">
        <v>46</v>
      </c>
      <c r="B80" s="418">
        <f aca="true" t="shared" si="15" ref="B80:N88">+IF($N39=0,0,+ROUND(B39/$N39,4))</f>
        <v>0.0019</v>
      </c>
      <c r="C80" s="418">
        <f t="shared" si="15"/>
        <v>0.0011</v>
      </c>
      <c r="D80" s="418">
        <f t="shared" si="15"/>
        <v>0</v>
      </c>
      <c r="E80" s="418">
        <f t="shared" si="15"/>
        <v>0.0582</v>
      </c>
      <c r="F80" s="418">
        <f t="shared" si="15"/>
        <v>0.0837</v>
      </c>
      <c r="G80" s="418">
        <f t="shared" si="15"/>
        <v>0.2669</v>
      </c>
      <c r="H80" s="418">
        <f t="shared" si="15"/>
        <v>0.0905</v>
      </c>
      <c r="I80" s="418">
        <f t="shared" si="15"/>
        <v>0.0023</v>
      </c>
      <c r="J80" s="418">
        <f t="shared" si="15"/>
        <v>0.1008</v>
      </c>
      <c r="K80" s="418">
        <f t="shared" si="15"/>
        <v>0.2528</v>
      </c>
      <c r="L80" s="418">
        <f t="shared" si="15"/>
        <v>0.0131</v>
      </c>
      <c r="M80" s="418">
        <f t="shared" si="15"/>
        <v>0.1287</v>
      </c>
      <c r="N80" s="418">
        <f t="shared" si="15"/>
        <v>1</v>
      </c>
      <c r="O80" s="408">
        <f aca="true" t="shared" si="16" ref="O80:O88">+N80-SUM(B80:M80)</f>
        <v>0</v>
      </c>
    </row>
    <row r="81" spans="1:15" s="358" customFormat="1" ht="15">
      <c r="A81" s="344" t="s">
        <v>47</v>
      </c>
      <c r="B81" s="418">
        <f t="shared" si="15"/>
        <v>-0.0182</v>
      </c>
      <c r="C81" s="418">
        <f t="shared" si="15"/>
        <v>0.0652</v>
      </c>
      <c r="D81" s="418">
        <f t="shared" si="15"/>
        <v>0.0496</v>
      </c>
      <c r="E81" s="418">
        <f t="shared" si="15"/>
        <v>0.0424</v>
      </c>
      <c r="F81" s="418">
        <f t="shared" si="15"/>
        <v>0.0659</v>
      </c>
      <c r="G81" s="418">
        <f t="shared" si="15"/>
        <v>0.1317</v>
      </c>
      <c r="H81" s="418">
        <f t="shared" si="15"/>
        <v>0.0854</v>
      </c>
      <c r="I81" s="418">
        <f t="shared" si="15"/>
        <v>0.0123</v>
      </c>
      <c r="J81" s="418">
        <f t="shared" si="15"/>
        <v>0</v>
      </c>
      <c r="K81" s="418">
        <f t="shared" si="15"/>
        <v>0.1962</v>
      </c>
      <c r="L81" s="418">
        <f t="shared" si="15"/>
        <v>0.0226</v>
      </c>
      <c r="M81" s="418">
        <f t="shared" si="15"/>
        <v>0.347</v>
      </c>
      <c r="N81" s="418">
        <f t="shared" si="15"/>
        <v>1</v>
      </c>
      <c r="O81" s="408">
        <f t="shared" si="16"/>
        <v>-9.999999999998899E-05</v>
      </c>
    </row>
    <row r="82" spans="1:15" s="358" customFormat="1" ht="15">
      <c r="A82" s="344" t="s">
        <v>48</v>
      </c>
      <c r="B82" s="418">
        <f t="shared" si="15"/>
        <v>0.0042</v>
      </c>
      <c r="C82" s="418">
        <f t="shared" si="15"/>
        <v>0.0033</v>
      </c>
      <c r="D82" s="418">
        <f t="shared" si="15"/>
        <v>0.0041</v>
      </c>
      <c r="E82" s="418">
        <f t="shared" si="15"/>
        <v>0.0028</v>
      </c>
      <c r="F82" s="418">
        <f t="shared" si="15"/>
        <v>0.0041</v>
      </c>
      <c r="G82" s="418">
        <f t="shared" si="15"/>
        <v>0.0041</v>
      </c>
      <c r="H82" s="418">
        <f t="shared" si="15"/>
        <v>0.0432</v>
      </c>
      <c r="I82" s="418">
        <f t="shared" si="15"/>
        <v>0.0042</v>
      </c>
      <c r="J82" s="418">
        <f t="shared" si="15"/>
        <v>0.0053</v>
      </c>
      <c r="K82" s="418">
        <f t="shared" si="15"/>
        <v>0.0043</v>
      </c>
      <c r="L82" s="418">
        <f t="shared" si="15"/>
        <v>0.0208</v>
      </c>
      <c r="M82" s="418">
        <f t="shared" si="15"/>
        <v>0.8995</v>
      </c>
      <c r="N82" s="418">
        <f t="shared" si="15"/>
        <v>1</v>
      </c>
      <c r="O82" s="408">
        <f t="shared" si="16"/>
        <v>9.999999999998899E-05</v>
      </c>
    </row>
    <row r="83" spans="1:15" s="358" customFormat="1" ht="15">
      <c r="A83" s="344" t="s">
        <v>49</v>
      </c>
      <c r="B83" s="418">
        <f t="shared" si="15"/>
        <v>0.0143</v>
      </c>
      <c r="C83" s="418">
        <f t="shared" si="15"/>
        <v>0.0024</v>
      </c>
      <c r="D83" s="418">
        <f t="shared" si="15"/>
        <v>0.4192</v>
      </c>
      <c r="E83" s="418">
        <f t="shared" si="15"/>
        <v>0.0001</v>
      </c>
      <c r="F83" s="418">
        <f t="shared" si="15"/>
        <v>0.0093</v>
      </c>
      <c r="G83" s="418">
        <f t="shared" si="15"/>
        <v>0.1232</v>
      </c>
      <c r="H83" s="418">
        <f t="shared" si="15"/>
        <v>0.026</v>
      </c>
      <c r="I83" s="418">
        <f t="shared" si="15"/>
        <v>-0.3625</v>
      </c>
      <c r="J83" s="418">
        <f t="shared" si="15"/>
        <v>0.2339</v>
      </c>
      <c r="K83" s="418">
        <f t="shared" si="15"/>
        <v>0.0141</v>
      </c>
      <c r="L83" s="418">
        <f t="shared" si="15"/>
        <v>0.194</v>
      </c>
      <c r="M83" s="418">
        <f t="shared" si="15"/>
        <v>0.326</v>
      </c>
      <c r="N83" s="418">
        <f t="shared" si="15"/>
        <v>1</v>
      </c>
      <c r="O83" s="408">
        <f t="shared" si="16"/>
        <v>0</v>
      </c>
    </row>
    <row r="84" spans="1:15" s="358" customFormat="1" ht="15">
      <c r="A84" s="344" t="s">
        <v>50</v>
      </c>
      <c r="B84" s="418">
        <f t="shared" si="15"/>
        <v>0.0693</v>
      </c>
      <c r="C84" s="418">
        <f t="shared" si="15"/>
        <v>-0.0028</v>
      </c>
      <c r="D84" s="418">
        <f t="shared" si="15"/>
        <v>0.0017</v>
      </c>
      <c r="E84" s="418">
        <f t="shared" si="15"/>
        <v>0.0362</v>
      </c>
      <c r="F84" s="418">
        <f t="shared" si="15"/>
        <v>0.0126</v>
      </c>
      <c r="G84" s="418">
        <f t="shared" si="15"/>
        <v>0.1666</v>
      </c>
      <c r="H84" s="418">
        <f t="shared" si="15"/>
        <v>0.13</v>
      </c>
      <c r="I84" s="418">
        <f t="shared" si="15"/>
        <v>0.0386</v>
      </c>
      <c r="J84" s="418">
        <f t="shared" si="15"/>
        <v>0.1232</v>
      </c>
      <c r="K84" s="418">
        <f t="shared" si="15"/>
        <v>0.0851</v>
      </c>
      <c r="L84" s="418">
        <f t="shared" si="15"/>
        <v>0.0317</v>
      </c>
      <c r="M84" s="418">
        <f t="shared" si="15"/>
        <v>0.3077</v>
      </c>
      <c r="N84" s="418">
        <f t="shared" si="15"/>
        <v>1</v>
      </c>
      <c r="O84" s="408">
        <f t="shared" si="16"/>
        <v>0.00010000000000010001</v>
      </c>
    </row>
    <row r="85" spans="1:15" s="358" customFormat="1" ht="15">
      <c r="A85" s="344" t="s">
        <v>51</v>
      </c>
      <c r="B85" s="418">
        <f t="shared" si="15"/>
        <v>0</v>
      </c>
      <c r="C85" s="418">
        <f t="shared" si="15"/>
        <v>0.0085</v>
      </c>
      <c r="D85" s="418">
        <f t="shared" si="15"/>
        <v>0.0375</v>
      </c>
      <c r="E85" s="418">
        <f t="shared" si="15"/>
        <v>0.0874</v>
      </c>
      <c r="F85" s="418">
        <f t="shared" si="15"/>
        <v>0.0526</v>
      </c>
      <c r="G85" s="418">
        <f t="shared" si="15"/>
        <v>0.0812</v>
      </c>
      <c r="H85" s="418">
        <f t="shared" si="15"/>
        <v>0.2589</v>
      </c>
      <c r="I85" s="418">
        <f t="shared" si="15"/>
        <v>0.0188</v>
      </c>
      <c r="J85" s="418">
        <f t="shared" si="15"/>
        <v>0.0079</v>
      </c>
      <c r="K85" s="418">
        <f t="shared" si="15"/>
        <v>0.0565</v>
      </c>
      <c r="L85" s="418">
        <f t="shared" si="15"/>
        <v>0.0347</v>
      </c>
      <c r="M85" s="418">
        <f t="shared" si="15"/>
        <v>0.3559</v>
      </c>
      <c r="N85" s="418">
        <f t="shared" si="15"/>
        <v>1</v>
      </c>
      <c r="O85" s="408">
        <f t="shared" si="16"/>
        <v>9.999999999998899E-05</v>
      </c>
    </row>
    <row r="86" spans="1:15" s="358" customFormat="1" ht="15">
      <c r="A86" s="344" t="s">
        <v>128</v>
      </c>
      <c r="B86" s="418">
        <f t="shared" si="15"/>
        <v>0</v>
      </c>
      <c r="C86" s="418">
        <f t="shared" si="15"/>
        <v>0</v>
      </c>
      <c r="D86" s="418">
        <f t="shared" si="15"/>
        <v>0</v>
      </c>
      <c r="E86" s="418">
        <f t="shared" si="15"/>
        <v>0.8317</v>
      </c>
      <c r="F86" s="418">
        <f t="shared" si="15"/>
        <v>0.6653</v>
      </c>
      <c r="G86" s="418">
        <f t="shared" si="15"/>
        <v>0</v>
      </c>
      <c r="H86" s="418">
        <f t="shared" si="15"/>
        <v>0</v>
      </c>
      <c r="I86" s="418">
        <f t="shared" si="15"/>
        <v>0</v>
      </c>
      <c r="J86" s="418">
        <f t="shared" si="15"/>
        <v>0</v>
      </c>
      <c r="K86" s="418">
        <f t="shared" si="15"/>
        <v>0</v>
      </c>
      <c r="L86" s="418">
        <f t="shared" si="15"/>
        <v>0</v>
      </c>
      <c r="M86" s="418">
        <f t="shared" si="15"/>
        <v>-0.497</v>
      </c>
      <c r="N86" s="418">
        <f t="shared" si="15"/>
        <v>1</v>
      </c>
      <c r="O86" s="408">
        <f t="shared" si="16"/>
        <v>0</v>
      </c>
    </row>
    <row r="87" spans="1:15" s="358" customFormat="1" ht="15">
      <c r="A87" s="344" t="s">
        <v>129</v>
      </c>
      <c r="B87" s="418">
        <f t="shared" si="15"/>
        <v>0</v>
      </c>
      <c r="C87" s="418">
        <f t="shared" si="15"/>
        <v>0</v>
      </c>
      <c r="D87" s="418">
        <f t="shared" si="15"/>
        <v>0</v>
      </c>
      <c r="E87" s="418">
        <f t="shared" si="15"/>
        <v>0</v>
      </c>
      <c r="F87" s="418">
        <f t="shared" si="15"/>
        <v>0</v>
      </c>
      <c r="G87" s="418">
        <f t="shared" si="15"/>
        <v>0</v>
      </c>
      <c r="H87" s="418">
        <f t="shared" si="15"/>
        <v>0</v>
      </c>
      <c r="I87" s="418">
        <f t="shared" si="15"/>
        <v>0</v>
      </c>
      <c r="J87" s="418">
        <f t="shared" si="15"/>
        <v>0</v>
      </c>
      <c r="K87" s="418">
        <f t="shared" si="15"/>
        <v>0</v>
      </c>
      <c r="L87" s="418">
        <f t="shared" si="15"/>
        <v>0</v>
      </c>
      <c r="M87" s="418">
        <f t="shared" si="15"/>
        <v>0</v>
      </c>
      <c r="N87" s="418">
        <f t="shared" si="15"/>
        <v>0</v>
      </c>
      <c r="O87" s="408">
        <f t="shared" si="16"/>
        <v>0</v>
      </c>
    </row>
    <row r="88" spans="1:15" s="358" customFormat="1" ht="15">
      <c r="A88" s="346" t="s">
        <v>130</v>
      </c>
      <c r="B88" s="418">
        <f t="shared" si="15"/>
        <v>0.0089</v>
      </c>
      <c r="C88" s="418">
        <f t="shared" si="15"/>
        <v>0.0061</v>
      </c>
      <c r="D88" s="418">
        <f t="shared" si="15"/>
        <v>0.0311</v>
      </c>
      <c r="E88" s="418">
        <f t="shared" si="15"/>
        <v>0.1135</v>
      </c>
      <c r="F88" s="418">
        <f t="shared" si="15"/>
        <v>0.1106</v>
      </c>
      <c r="G88" s="418">
        <f t="shared" si="15"/>
        <v>0.1897</v>
      </c>
      <c r="H88" s="418">
        <f t="shared" si="15"/>
        <v>0.0968</v>
      </c>
      <c r="I88" s="418">
        <f t="shared" si="15"/>
        <v>-0.0121</v>
      </c>
      <c r="J88" s="418">
        <f t="shared" si="15"/>
        <v>0.084</v>
      </c>
      <c r="K88" s="418">
        <f t="shared" si="15"/>
        <v>0.1688</v>
      </c>
      <c r="L88" s="418">
        <f t="shared" si="15"/>
        <v>0.0274</v>
      </c>
      <c r="M88" s="418">
        <f t="shared" si="15"/>
        <v>0.1751</v>
      </c>
      <c r="N88" s="418">
        <f t="shared" si="15"/>
        <v>1</v>
      </c>
      <c r="O88" s="408">
        <f t="shared" si="16"/>
        <v>0.00010000000000010001</v>
      </c>
    </row>
    <row r="89" spans="1:15" s="358" customFormat="1" ht="15">
      <c r="A89" s="344" t="s">
        <v>131</v>
      </c>
      <c r="B89" s="417"/>
      <c r="C89" s="417"/>
      <c r="D89" s="417"/>
      <c r="E89" s="417"/>
      <c r="F89" s="417"/>
      <c r="G89" s="417"/>
      <c r="H89" s="417"/>
      <c r="I89" s="417"/>
      <c r="J89" s="417"/>
      <c r="K89" s="417"/>
      <c r="L89" s="417"/>
      <c r="M89" s="417"/>
      <c r="N89" s="417"/>
      <c r="O89" s="356"/>
    </row>
    <row r="90" spans="1:15" s="358" customFormat="1" ht="15">
      <c r="A90" s="346" t="s">
        <v>59</v>
      </c>
      <c r="B90" s="417"/>
      <c r="C90" s="417"/>
      <c r="D90" s="417"/>
      <c r="E90" s="417"/>
      <c r="F90" s="417"/>
      <c r="G90" s="417"/>
      <c r="H90" s="417"/>
      <c r="I90" s="417"/>
      <c r="J90" s="417"/>
      <c r="K90" s="417"/>
      <c r="L90" s="417"/>
      <c r="M90" s="417"/>
      <c r="N90" s="417"/>
      <c r="O90" s="356"/>
    </row>
    <row r="91" spans="1:15" s="358" customFormat="1" ht="15">
      <c r="A91" s="344" t="s">
        <v>60</v>
      </c>
      <c r="B91" s="418">
        <f aca="true" t="shared" si="17" ref="B91:N101">+IF($N50=0,0,+ROUND(B50/$N50,4))</f>
        <v>0.0091</v>
      </c>
      <c r="C91" s="418">
        <f t="shared" si="17"/>
        <v>0.0111</v>
      </c>
      <c r="D91" s="418">
        <f t="shared" si="17"/>
        <v>0.1154</v>
      </c>
      <c r="E91" s="418">
        <f t="shared" si="17"/>
        <v>0.0943</v>
      </c>
      <c r="F91" s="418">
        <f t="shared" si="17"/>
        <v>0.0949</v>
      </c>
      <c r="G91" s="418">
        <f t="shared" si="17"/>
        <v>0.0967</v>
      </c>
      <c r="H91" s="418">
        <f t="shared" si="17"/>
        <v>0.0961</v>
      </c>
      <c r="I91" s="418">
        <f t="shared" si="17"/>
        <v>0.0949</v>
      </c>
      <c r="J91" s="418">
        <f t="shared" si="17"/>
        <v>0.0959</v>
      </c>
      <c r="K91" s="418">
        <f t="shared" si="17"/>
        <v>0.0954</v>
      </c>
      <c r="L91" s="418">
        <f t="shared" si="17"/>
        <v>0.0938</v>
      </c>
      <c r="M91" s="418">
        <f t="shared" si="17"/>
        <v>0.1024</v>
      </c>
      <c r="N91" s="418">
        <f t="shared" si="17"/>
        <v>1</v>
      </c>
      <c r="O91" s="408">
        <f aca="true" t="shared" si="18" ref="O91:O101">+N91-SUM(B91:M91)</f>
        <v>0</v>
      </c>
    </row>
    <row r="92" spans="1:15" s="358" customFormat="1" ht="15">
      <c r="A92" s="344" t="s">
        <v>61</v>
      </c>
      <c r="B92" s="418">
        <f t="shared" si="17"/>
        <v>0.0418</v>
      </c>
      <c r="C92" s="418">
        <f t="shared" si="17"/>
        <v>0.0533</v>
      </c>
      <c r="D92" s="418">
        <f t="shared" si="17"/>
        <v>0.0817</v>
      </c>
      <c r="E92" s="418">
        <f t="shared" si="17"/>
        <v>0.0832</v>
      </c>
      <c r="F92" s="418">
        <f t="shared" si="17"/>
        <v>0.085</v>
      </c>
      <c r="G92" s="418">
        <f t="shared" si="17"/>
        <v>0.0847</v>
      </c>
      <c r="H92" s="418">
        <f t="shared" si="17"/>
        <v>0.0945</v>
      </c>
      <c r="I92" s="418">
        <f t="shared" si="17"/>
        <v>0.0875</v>
      </c>
      <c r="J92" s="418">
        <f t="shared" si="17"/>
        <v>0.108</v>
      </c>
      <c r="K92" s="418">
        <f t="shared" si="17"/>
        <v>0.0913</v>
      </c>
      <c r="L92" s="418">
        <f t="shared" si="17"/>
        <v>0.0873</v>
      </c>
      <c r="M92" s="418">
        <f t="shared" si="17"/>
        <v>0.1017</v>
      </c>
      <c r="N92" s="418">
        <f t="shared" si="17"/>
        <v>1</v>
      </c>
      <c r="O92" s="408">
        <f t="shared" si="18"/>
        <v>0</v>
      </c>
    </row>
    <row r="93" spans="1:15" s="358" customFormat="1" ht="15">
      <c r="A93" s="344" t="s">
        <v>62</v>
      </c>
      <c r="B93" s="418">
        <f t="shared" si="17"/>
        <v>0.0444</v>
      </c>
      <c r="C93" s="418">
        <f t="shared" si="17"/>
        <v>0.0465</v>
      </c>
      <c r="D93" s="418">
        <f t="shared" si="17"/>
        <v>0.093</v>
      </c>
      <c r="E93" s="418">
        <f t="shared" si="17"/>
        <v>0.0869</v>
      </c>
      <c r="F93" s="418">
        <f t="shared" si="17"/>
        <v>0.0877</v>
      </c>
      <c r="G93" s="418">
        <f t="shared" si="17"/>
        <v>0.0879</v>
      </c>
      <c r="H93" s="418">
        <f t="shared" si="17"/>
        <v>0.0902</v>
      </c>
      <c r="I93" s="418">
        <f t="shared" si="17"/>
        <v>0.0896</v>
      </c>
      <c r="J93" s="418">
        <f t="shared" si="17"/>
        <v>0.0933</v>
      </c>
      <c r="K93" s="418">
        <f t="shared" si="17"/>
        <v>0.0941</v>
      </c>
      <c r="L93" s="418">
        <f t="shared" si="17"/>
        <v>0.0893</v>
      </c>
      <c r="M93" s="418">
        <f t="shared" si="17"/>
        <v>0.0971</v>
      </c>
      <c r="N93" s="418">
        <f t="shared" si="17"/>
        <v>1</v>
      </c>
      <c r="O93" s="408">
        <f t="shared" si="18"/>
        <v>0</v>
      </c>
    </row>
    <row r="94" spans="1:15" s="358" customFormat="1" ht="15">
      <c r="A94" s="344" t="s">
        <v>63</v>
      </c>
      <c r="B94" s="418">
        <f t="shared" si="17"/>
        <v>0.014</v>
      </c>
      <c r="C94" s="418">
        <f t="shared" si="17"/>
        <v>0.0825</v>
      </c>
      <c r="D94" s="418">
        <f t="shared" si="17"/>
        <v>0.0763</v>
      </c>
      <c r="E94" s="418">
        <f t="shared" si="17"/>
        <v>0.0427</v>
      </c>
      <c r="F94" s="418">
        <f t="shared" si="17"/>
        <v>0.091</v>
      </c>
      <c r="G94" s="418">
        <f t="shared" si="17"/>
        <v>0.0987</v>
      </c>
      <c r="H94" s="418">
        <f t="shared" si="17"/>
        <v>0.0669</v>
      </c>
      <c r="I94" s="418">
        <f t="shared" si="17"/>
        <v>0.0755</v>
      </c>
      <c r="J94" s="418">
        <f t="shared" si="17"/>
        <v>0.0576</v>
      </c>
      <c r="K94" s="418">
        <f t="shared" si="17"/>
        <v>0.086</v>
      </c>
      <c r="L94" s="418">
        <f t="shared" si="17"/>
        <v>0.1024</v>
      </c>
      <c r="M94" s="418">
        <f t="shared" si="17"/>
        <v>0.2064</v>
      </c>
      <c r="N94" s="418">
        <f t="shared" si="17"/>
        <v>1</v>
      </c>
      <c r="O94" s="408">
        <f t="shared" si="18"/>
        <v>0</v>
      </c>
    </row>
    <row r="95" spans="1:15" s="358" customFormat="1" ht="15">
      <c r="A95" s="344" t="s">
        <v>64</v>
      </c>
      <c r="B95" s="418">
        <f t="shared" si="17"/>
        <v>0.0206</v>
      </c>
      <c r="C95" s="418">
        <f t="shared" si="17"/>
        <v>0.0681</v>
      </c>
      <c r="D95" s="418">
        <f t="shared" si="17"/>
        <v>0.081</v>
      </c>
      <c r="E95" s="418">
        <f t="shared" si="17"/>
        <v>0.0739</v>
      </c>
      <c r="F95" s="418">
        <f t="shared" si="17"/>
        <v>0.0828</v>
      </c>
      <c r="G95" s="418">
        <f t="shared" si="17"/>
        <v>0.0713</v>
      </c>
      <c r="H95" s="418">
        <f t="shared" si="17"/>
        <v>0.0915</v>
      </c>
      <c r="I95" s="418">
        <f t="shared" si="17"/>
        <v>0.0739</v>
      </c>
      <c r="J95" s="418">
        <f t="shared" si="17"/>
        <v>0.0637</v>
      </c>
      <c r="K95" s="418">
        <f t="shared" si="17"/>
        <v>0.0921</v>
      </c>
      <c r="L95" s="418">
        <f t="shared" si="17"/>
        <v>0.0853</v>
      </c>
      <c r="M95" s="418">
        <f t="shared" si="17"/>
        <v>0.1957</v>
      </c>
      <c r="N95" s="418">
        <f t="shared" si="17"/>
        <v>1</v>
      </c>
      <c r="O95" s="408">
        <f t="shared" si="18"/>
        <v>9.999999999998899E-05</v>
      </c>
    </row>
    <row r="96" spans="1:15" s="358" customFormat="1" ht="15">
      <c r="A96" s="344" t="s">
        <v>65</v>
      </c>
      <c r="B96" s="418">
        <f t="shared" si="17"/>
        <v>0.0003</v>
      </c>
      <c r="C96" s="418">
        <f t="shared" si="17"/>
        <v>0.0303</v>
      </c>
      <c r="D96" s="418">
        <f t="shared" si="17"/>
        <v>0.0068</v>
      </c>
      <c r="E96" s="418">
        <f t="shared" si="17"/>
        <v>0.0253</v>
      </c>
      <c r="F96" s="418">
        <f t="shared" si="17"/>
        <v>0</v>
      </c>
      <c r="G96" s="418">
        <f t="shared" si="17"/>
        <v>0.0263</v>
      </c>
      <c r="H96" s="418">
        <f t="shared" si="17"/>
        <v>0.1827</v>
      </c>
      <c r="I96" s="418">
        <f t="shared" si="17"/>
        <v>0.0425</v>
      </c>
      <c r="J96" s="418">
        <f t="shared" si="17"/>
        <v>0.0298</v>
      </c>
      <c r="K96" s="418">
        <f t="shared" si="17"/>
        <v>0.1343</v>
      </c>
      <c r="L96" s="418">
        <f t="shared" si="17"/>
        <v>0.0129</v>
      </c>
      <c r="M96" s="418">
        <f t="shared" si="17"/>
        <v>0.5089</v>
      </c>
      <c r="N96" s="418">
        <f t="shared" si="17"/>
        <v>1</v>
      </c>
      <c r="O96" s="408">
        <f t="shared" si="18"/>
        <v>-9.999999999998899E-05</v>
      </c>
    </row>
    <row r="97" spans="1:15" s="358" customFormat="1" ht="15">
      <c r="A97" s="344" t="s">
        <v>66</v>
      </c>
      <c r="B97" s="418">
        <f t="shared" si="17"/>
        <v>-0.0054</v>
      </c>
      <c r="C97" s="418">
        <f t="shared" si="17"/>
        <v>0.1193</v>
      </c>
      <c r="D97" s="418">
        <f t="shared" si="17"/>
        <v>0</v>
      </c>
      <c r="E97" s="418">
        <f t="shared" si="17"/>
        <v>0</v>
      </c>
      <c r="F97" s="418">
        <f t="shared" si="17"/>
        <v>0.0208</v>
      </c>
      <c r="G97" s="418">
        <f t="shared" si="17"/>
        <v>0</v>
      </c>
      <c r="H97" s="418">
        <f t="shared" si="17"/>
        <v>0.0595</v>
      </c>
      <c r="I97" s="418">
        <f t="shared" si="17"/>
        <v>0.0058</v>
      </c>
      <c r="J97" s="418">
        <f t="shared" si="17"/>
        <v>0</v>
      </c>
      <c r="K97" s="418">
        <f t="shared" si="17"/>
        <v>0</v>
      </c>
      <c r="L97" s="418">
        <f t="shared" si="17"/>
        <v>0.0069</v>
      </c>
      <c r="M97" s="418">
        <f t="shared" si="17"/>
        <v>0.7931</v>
      </c>
      <c r="N97" s="418">
        <f t="shared" si="17"/>
        <v>1</v>
      </c>
      <c r="O97" s="408">
        <f t="shared" si="18"/>
        <v>0</v>
      </c>
    </row>
    <row r="98" spans="1:15" s="358" customFormat="1" ht="15">
      <c r="A98" s="344" t="s">
        <v>67</v>
      </c>
      <c r="B98" s="418">
        <f t="shared" si="17"/>
        <v>0</v>
      </c>
      <c r="C98" s="418">
        <f t="shared" si="17"/>
        <v>0</v>
      </c>
      <c r="D98" s="418">
        <f t="shared" si="17"/>
        <v>0</v>
      </c>
      <c r="E98" s="418">
        <f t="shared" si="17"/>
        <v>0.1791</v>
      </c>
      <c r="F98" s="418">
        <f t="shared" si="17"/>
        <v>0</v>
      </c>
      <c r="G98" s="418">
        <f t="shared" si="17"/>
        <v>0</v>
      </c>
      <c r="H98" s="418">
        <f t="shared" si="17"/>
        <v>0</v>
      </c>
      <c r="I98" s="418">
        <f t="shared" si="17"/>
        <v>0</v>
      </c>
      <c r="J98" s="418">
        <f t="shared" si="17"/>
        <v>0</v>
      </c>
      <c r="K98" s="418">
        <f t="shared" si="17"/>
        <v>0</v>
      </c>
      <c r="L98" s="418">
        <f t="shared" si="17"/>
        <v>0.0689</v>
      </c>
      <c r="M98" s="418">
        <f t="shared" si="17"/>
        <v>0.7519</v>
      </c>
      <c r="N98" s="418">
        <f t="shared" si="17"/>
        <v>1</v>
      </c>
      <c r="O98" s="408">
        <f t="shared" si="18"/>
        <v>9.999999999998899E-05</v>
      </c>
    </row>
    <row r="99" spans="1:15" s="358" customFormat="1" ht="15">
      <c r="A99" s="344" t="s">
        <v>68</v>
      </c>
      <c r="B99" s="418">
        <f t="shared" si="17"/>
        <v>0</v>
      </c>
      <c r="C99" s="418">
        <f t="shared" si="17"/>
        <v>0</v>
      </c>
      <c r="D99" s="418">
        <f t="shared" si="17"/>
        <v>0</v>
      </c>
      <c r="E99" s="418">
        <f t="shared" si="17"/>
        <v>0</v>
      </c>
      <c r="F99" s="418">
        <f t="shared" si="17"/>
        <v>0</v>
      </c>
      <c r="G99" s="418">
        <f t="shared" si="17"/>
        <v>0</v>
      </c>
      <c r="H99" s="418">
        <f t="shared" si="17"/>
        <v>0</v>
      </c>
      <c r="I99" s="418">
        <f t="shared" si="17"/>
        <v>0</v>
      </c>
      <c r="J99" s="418">
        <f t="shared" si="17"/>
        <v>0</v>
      </c>
      <c r="K99" s="418">
        <f t="shared" si="17"/>
        <v>0</v>
      </c>
      <c r="L99" s="418">
        <f t="shared" si="17"/>
        <v>0</v>
      </c>
      <c r="M99" s="418">
        <f t="shared" si="17"/>
        <v>0</v>
      </c>
      <c r="N99" s="418">
        <f t="shared" si="17"/>
        <v>0</v>
      </c>
      <c r="O99" s="408">
        <f t="shared" si="18"/>
        <v>0</v>
      </c>
    </row>
    <row r="100" spans="1:15" s="358" customFormat="1" ht="15">
      <c r="A100" s="344" t="s">
        <v>8</v>
      </c>
      <c r="B100" s="418">
        <f t="shared" si="17"/>
        <v>0</v>
      </c>
      <c r="C100" s="418">
        <f t="shared" si="17"/>
        <v>0</v>
      </c>
      <c r="D100" s="418">
        <f t="shared" si="17"/>
        <v>0</v>
      </c>
      <c r="E100" s="418">
        <f t="shared" si="17"/>
        <v>0</v>
      </c>
      <c r="F100" s="418">
        <f t="shared" si="17"/>
        <v>0</v>
      </c>
      <c r="G100" s="418">
        <f t="shared" si="17"/>
        <v>0</v>
      </c>
      <c r="H100" s="418">
        <f t="shared" si="17"/>
        <v>0</v>
      </c>
      <c r="I100" s="418">
        <f t="shared" si="17"/>
        <v>0</v>
      </c>
      <c r="J100" s="418">
        <f t="shared" si="17"/>
        <v>0</v>
      </c>
      <c r="K100" s="418">
        <f t="shared" si="17"/>
        <v>0</v>
      </c>
      <c r="L100" s="418">
        <f t="shared" si="17"/>
        <v>0</v>
      </c>
      <c r="M100" s="418">
        <f t="shared" si="17"/>
        <v>0</v>
      </c>
      <c r="N100" s="418">
        <f t="shared" si="17"/>
        <v>0</v>
      </c>
      <c r="O100" s="408">
        <f t="shared" si="18"/>
        <v>0</v>
      </c>
    </row>
    <row r="101" spans="1:15" s="358" customFormat="1" ht="15">
      <c r="A101" s="346" t="s">
        <v>153</v>
      </c>
      <c r="B101" s="418">
        <f t="shared" si="17"/>
        <v>0.0193</v>
      </c>
      <c r="C101" s="418">
        <f t="shared" si="17"/>
        <v>0.0357</v>
      </c>
      <c r="D101" s="418">
        <f t="shared" si="17"/>
        <v>0.0951</v>
      </c>
      <c r="E101" s="418">
        <f t="shared" si="17"/>
        <v>0.0831</v>
      </c>
      <c r="F101" s="418">
        <f t="shared" si="17"/>
        <v>0.0858</v>
      </c>
      <c r="G101" s="418">
        <f t="shared" si="17"/>
        <v>0.0853</v>
      </c>
      <c r="H101" s="418">
        <f t="shared" si="17"/>
        <v>0.0922</v>
      </c>
      <c r="I101" s="418">
        <f t="shared" si="17"/>
        <v>0.0848</v>
      </c>
      <c r="J101" s="418">
        <f t="shared" si="17"/>
        <v>0.0862</v>
      </c>
      <c r="K101" s="418">
        <f t="shared" si="17"/>
        <v>0.0896</v>
      </c>
      <c r="L101" s="418">
        <f t="shared" si="17"/>
        <v>0.0866</v>
      </c>
      <c r="M101" s="418">
        <f t="shared" si="17"/>
        <v>0.1563</v>
      </c>
      <c r="N101" s="418">
        <f t="shared" si="17"/>
        <v>1</v>
      </c>
      <c r="O101" s="408">
        <f t="shared" si="18"/>
        <v>0</v>
      </c>
    </row>
    <row r="102" spans="1:15" s="357" customFormat="1" ht="15">
      <c r="A102" s="347"/>
      <c r="B102" s="419"/>
      <c r="C102" s="419"/>
      <c r="D102" s="419"/>
      <c r="E102" s="419"/>
      <c r="F102" s="419"/>
      <c r="G102" s="419"/>
      <c r="H102" s="419"/>
      <c r="I102" s="419"/>
      <c r="J102" s="419"/>
      <c r="K102" s="419"/>
      <c r="L102" s="419"/>
      <c r="M102" s="419"/>
      <c r="N102" s="419"/>
      <c r="O102" s="356"/>
    </row>
    <row r="103" spans="1:15" s="349" customFormat="1" ht="13.5">
      <c r="A103" s="348" t="str">
        <f>+A31</f>
        <v>"Master Template" School District</v>
      </c>
      <c r="O103" s="350"/>
    </row>
    <row r="104" spans="1:15" s="349" customFormat="1" ht="13.5">
      <c r="A104" s="348" t="s">
        <v>27</v>
      </c>
      <c r="O104" s="350"/>
    </row>
    <row r="105" s="349" customFormat="1" ht="13.5">
      <c r="O105" s="350"/>
    </row>
    <row r="106" spans="1:15" s="349" customFormat="1" ht="42">
      <c r="A106" s="349" t="s">
        <v>18</v>
      </c>
      <c r="B106" s="349" t="s">
        <v>180</v>
      </c>
      <c r="C106" s="349" t="s">
        <v>182</v>
      </c>
      <c r="D106" s="349" t="s">
        <v>183</v>
      </c>
      <c r="E106" s="349" t="s">
        <v>184</v>
      </c>
      <c r="F106" s="349" t="s">
        <v>185</v>
      </c>
      <c r="G106" s="349" t="s">
        <v>205</v>
      </c>
      <c r="H106" s="349" t="s">
        <v>206</v>
      </c>
      <c r="I106" s="349" t="s">
        <v>207</v>
      </c>
      <c r="J106" s="349" t="s">
        <v>253</v>
      </c>
      <c r="K106" s="349" t="s">
        <v>254</v>
      </c>
      <c r="L106" s="349" t="s">
        <v>255</v>
      </c>
      <c r="M106" s="351" t="s">
        <v>19</v>
      </c>
      <c r="N106" s="349" t="s">
        <v>149</v>
      </c>
      <c r="O106" s="340" t="s">
        <v>96</v>
      </c>
    </row>
    <row r="107" spans="1:15" s="348" customFormat="1" ht="13.5">
      <c r="A107" s="348" t="s">
        <v>20</v>
      </c>
      <c r="B107" s="420">
        <v>2907027.82</v>
      </c>
      <c r="C107" s="420">
        <v>2711452.96</v>
      </c>
      <c r="D107" s="420">
        <v>1306857.02</v>
      </c>
      <c r="E107" s="420">
        <v>-416714.92</v>
      </c>
      <c r="F107" s="420">
        <v>1072394.68</v>
      </c>
      <c r="G107" s="420">
        <v>1882209.26</v>
      </c>
      <c r="H107" s="420">
        <v>5378141.3</v>
      </c>
      <c r="I107" s="420">
        <v>5858297.54</v>
      </c>
      <c r="J107" s="420">
        <v>3921948.25</v>
      </c>
      <c r="K107" s="420">
        <v>2256545.45</v>
      </c>
      <c r="L107" s="420">
        <v>5753504.93</v>
      </c>
      <c r="M107" s="420">
        <v>3508756.71</v>
      </c>
      <c r="N107" s="420">
        <v>2907027.82</v>
      </c>
      <c r="O107" s="337"/>
    </row>
    <row r="108" spans="1:15" s="359" customFormat="1" ht="15">
      <c r="A108" s="359" t="s">
        <v>131</v>
      </c>
      <c r="B108" s="433"/>
      <c r="C108" s="433"/>
      <c r="D108" s="433"/>
      <c r="E108" s="433"/>
      <c r="F108" s="433"/>
      <c r="G108" s="433"/>
      <c r="H108" s="433"/>
      <c r="I108" s="433"/>
      <c r="J108" s="433"/>
      <c r="K108" s="433"/>
      <c r="L108" s="433"/>
      <c r="M108" s="433"/>
      <c r="N108" s="433"/>
      <c r="O108" s="356"/>
    </row>
    <row r="109" spans="1:15" s="348" customFormat="1" ht="13.5">
      <c r="A109" s="348" t="s">
        <v>117</v>
      </c>
      <c r="B109" s="420"/>
      <c r="C109" s="420"/>
      <c r="D109" s="420"/>
      <c r="E109" s="420"/>
      <c r="F109" s="420"/>
      <c r="G109" s="420"/>
      <c r="H109" s="420"/>
      <c r="I109" s="420"/>
      <c r="J109" s="420"/>
      <c r="K109" s="420"/>
      <c r="L109" s="420"/>
      <c r="M109" s="420"/>
      <c r="N109" s="420"/>
      <c r="O109" s="337"/>
    </row>
    <row r="110" spans="1:15" s="359" customFormat="1" ht="15">
      <c r="A110" s="359" t="s">
        <v>45</v>
      </c>
      <c r="B110" s="433"/>
      <c r="C110" s="433"/>
      <c r="D110" s="433"/>
      <c r="E110" s="433"/>
      <c r="F110" s="433"/>
      <c r="G110" s="433"/>
      <c r="H110" s="433"/>
      <c r="I110" s="433"/>
      <c r="J110" s="433"/>
      <c r="K110" s="433"/>
      <c r="L110" s="433"/>
      <c r="M110" s="433"/>
      <c r="N110" s="433"/>
      <c r="O110" s="356"/>
    </row>
    <row r="111" spans="1:15" s="359" customFormat="1" ht="15">
      <c r="A111" s="359" t="s">
        <v>46</v>
      </c>
      <c r="B111" s="433">
        <v>0</v>
      </c>
      <c r="C111" s="433">
        <v>0</v>
      </c>
      <c r="D111" s="433">
        <v>73918.75</v>
      </c>
      <c r="E111" s="433">
        <v>1322305.04</v>
      </c>
      <c r="F111" s="433">
        <v>1552293.53</v>
      </c>
      <c r="G111" s="433">
        <v>5966596.41</v>
      </c>
      <c r="H111" s="433">
        <v>2284420.18</v>
      </c>
      <c r="I111" s="433">
        <v>41756.45</v>
      </c>
      <c r="J111" s="433">
        <v>1261058.76</v>
      </c>
      <c r="K111" s="433">
        <v>6005021.49</v>
      </c>
      <c r="L111" s="433">
        <v>248290.63</v>
      </c>
      <c r="M111" s="433">
        <v>2216471.68</v>
      </c>
      <c r="N111" s="433">
        <v>20972132.92</v>
      </c>
      <c r="O111" s="412">
        <f aca="true" t="shared" si="19" ref="O111:O118">+N111-SUM(B111:M111)</f>
        <v>0</v>
      </c>
    </row>
    <row r="112" spans="1:15" s="359" customFormat="1" ht="15">
      <c r="A112" s="359" t="s">
        <v>47</v>
      </c>
      <c r="B112" s="433">
        <v>0</v>
      </c>
      <c r="C112" s="433">
        <v>53669</v>
      </c>
      <c r="D112" s="433">
        <v>79393</v>
      </c>
      <c r="E112" s="433">
        <v>78078.35</v>
      </c>
      <c r="F112" s="433">
        <v>39777</v>
      </c>
      <c r="G112" s="433">
        <v>0</v>
      </c>
      <c r="H112" s="433">
        <v>234263.8</v>
      </c>
      <c r="I112" s="433">
        <v>0</v>
      </c>
      <c r="J112" s="433">
        <v>60460</v>
      </c>
      <c r="K112" s="433">
        <v>43158</v>
      </c>
      <c r="L112" s="433">
        <v>208341</v>
      </c>
      <c r="M112" s="433">
        <v>-82727.15</v>
      </c>
      <c r="N112" s="433">
        <v>714413</v>
      </c>
      <c r="O112" s="412">
        <f t="shared" si="19"/>
        <v>0</v>
      </c>
    </row>
    <row r="113" spans="1:15" s="359" customFormat="1" ht="15">
      <c r="A113" s="359" t="s">
        <v>48</v>
      </c>
      <c r="B113" s="433">
        <v>5854.41</v>
      </c>
      <c r="C113" s="433">
        <v>6015.66</v>
      </c>
      <c r="D113" s="433">
        <v>7602.76</v>
      </c>
      <c r="E113" s="433">
        <v>7562.3</v>
      </c>
      <c r="F113" s="433">
        <v>7385.75</v>
      </c>
      <c r="G113" s="433">
        <v>7466.1</v>
      </c>
      <c r="H113" s="433">
        <v>41967.67</v>
      </c>
      <c r="I113" s="433">
        <v>7671.54</v>
      </c>
      <c r="J113" s="433">
        <v>7504.07</v>
      </c>
      <c r="K113" s="433">
        <v>7762.05</v>
      </c>
      <c r="L113" s="433">
        <v>74009.61</v>
      </c>
      <c r="M113" s="433">
        <v>1194699.94</v>
      </c>
      <c r="N113" s="433">
        <v>1375501.86</v>
      </c>
      <c r="O113" s="412">
        <f t="shared" si="19"/>
        <v>0</v>
      </c>
    </row>
    <row r="114" spans="1:15" s="359" customFormat="1" ht="15">
      <c r="A114" s="359" t="s">
        <v>49</v>
      </c>
      <c r="B114" s="433">
        <v>282555</v>
      </c>
      <c r="C114" s="433">
        <v>67092</v>
      </c>
      <c r="D114" s="433">
        <v>-69520.83</v>
      </c>
      <c r="E114" s="433">
        <v>-51171.19</v>
      </c>
      <c r="F114" s="433">
        <v>60481</v>
      </c>
      <c r="G114" s="433">
        <v>24917</v>
      </c>
      <c r="H114" s="433">
        <v>117823.94</v>
      </c>
      <c r="I114" s="433">
        <v>382094</v>
      </c>
      <c r="J114" s="433">
        <v>36912</v>
      </c>
      <c r="K114" s="433">
        <v>69536</v>
      </c>
      <c r="L114" s="433">
        <v>311807.5</v>
      </c>
      <c r="M114" s="433">
        <v>240036.62</v>
      </c>
      <c r="N114" s="433">
        <v>1472563.04</v>
      </c>
      <c r="O114" s="412">
        <f t="shared" si="19"/>
        <v>0</v>
      </c>
    </row>
    <row r="115" spans="1:15" s="359" customFormat="1" ht="15">
      <c r="A115" s="359" t="s">
        <v>50</v>
      </c>
      <c r="B115" s="433">
        <v>766840</v>
      </c>
      <c r="C115" s="433">
        <v>-683861</v>
      </c>
      <c r="D115" s="433">
        <v>-48031.38</v>
      </c>
      <c r="E115" s="433">
        <v>419177.94</v>
      </c>
      <c r="F115" s="433">
        <v>149460.23</v>
      </c>
      <c r="G115" s="433">
        <v>544419.76</v>
      </c>
      <c r="H115" s="433">
        <v>596706.41</v>
      </c>
      <c r="I115" s="433">
        <v>628000.92</v>
      </c>
      <c r="J115" s="433">
        <v>169480.28</v>
      </c>
      <c r="K115" s="433">
        <v>244226.2</v>
      </c>
      <c r="L115" s="433">
        <v>116141.74</v>
      </c>
      <c r="M115" s="433">
        <v>1144018.87</v>
      </c>
      <c r="N115" s="433">
        <v>4046579.97</v>
      </c>
      <c r="O115" s="412">
        <f t="shared" si="19"/>
        <v>0</v>
      </c>
    </row>
    <row r="116" spans="1:15" s="359" customFormat="1" ht="15">
      <c r="A116" s="359" t="s">
        <v>51</v>
      </c>
      <c r="B116" s="433">
        <v>0</v>
      </c>
      <c r="C116" s="433">
        <v>76500</v>
      </c>
      <c r="D116" s="433">
        <v>130236.44</v>
      </c>
      <c r="E116" s="433">
        <v>311592.7</v>
      </c>
      <c r="F116" s="433">
        <v>111469.12</v>
      </c>
      <c r="G116" s="433">
        <v>51549.67</v>
      </c>
      <c r="H116" s="433">
        <v>193928.48</v>
      </c>
      <c r="I116" s="433">
        <v>-22418.41</v>
      </c>
      <c r="J116" s="433">
        <v>80294.69</v>
      </c>
      <c r="K116" s="433">
        <v>271992.88</v>
      </c>
      <c r="L116" s="433">
        <v>174696.24</v>
      </c>
      <c r="M116" s="433">
        <v>696146.29</v>
      </c>
      <c r="N116" s="433">
        <v>2075988.1</v>
      </c>
      <c r="O116" s="412">
        <f t="shared" si="19"/>
        <v>0</v>
      </c>
    </row>
    <row r="117" spans="1:15" s="359" customFormat="1" ht="15">
      <c r="A117" s="359" t="s">
        <v>128</v>
      </c>
      <c r="B117" s="433">
        <v>0</v>
      </c>
      <c r="C117" s="433">
        <v>0</v>
      </c>
      <c r="D117" s="433">
        <v>0</v>
      </c>
      <c r="E117" s="433">
        <v>2500000</v>
      </c>
      <c r="F117" s="433">
        <v>2000000</v>
      </c>
      <c r="G117" s="433">
        <v>0</v>
      </c>
      <c r="H117" s="433">
        <v>0</v>
      </c>
      <c r="I117" s="433">
        <v>0</v>
      </c>
      <c r="J117" s="433">
        <v>0</v>
      </c>
      <c r="K117" s="433">
        <v>0</v>
      </c>
      <c r="L117" s="433">
        <v>0</v>
      </c>
      <c r="M117" s="433">
        <v>346443.51</v>
      </c>
      <c r="N117" s="433">
        <v>4846443.51</v>
      </c>
      <c r="O117" s="412">
        <f t="shared" si="19"/>
        <v>0</v>
      </c>
    </row>
    <row r="118" spans="1:15" s="359" customFormat="1" ht="18">
      <c r="A118" s="359" t="s">
        <v>129</v>
      </c>
      <c r="B118" s="421">
        <v>0</v>
      </c>
      <c r="C118" s="421">
        <v>0</v>
      </c>
      <c r="D118" s="421">
        <v>0</v>
      </c>
      <c r="E118" s="421">
        <v>0</v>
      </c>
      <c r="F118" s="421">
        <v>0</v>
      </c>
      <c r="G118" s="421">
        <v>0</v>
      </c>
      <c r="H118" s="421">
        <v>0</v>
      </c>
      <c r="I118" s="421">
        <v>0</v>
      </c>
      <c r="J118" s="421">
        <v>0</v>
      </c>
      <c r="K118" s="421">
        <v>0</v>
      </c>
      <c r="L118" s="421">
        <v>0</v>
      </c>
      <c r="M118" s="421">
        <v>0</v>
      </c>
      <c r="N118" s="421">
        <v>0</v>
      </c>
      <c r="O118" s="412">
        <f t="shared" si="19"/>
        <v>0</v>
      </c>
    </row>
    <row r="119" spans="1:15" s="348" customFormat="1" ht="13.5">
      <c r="A119" s="348" t="s">
        <v>130</v>
      </c>
      <c r="B119" s="420">
        <f aca="true" t="shared" si="20" ref="B119:N119">SUM(B111:B118)</f>
        <v>1055249.41</v>
      </c>
      <c r="C119" s="420">
        <f t="shared" si="20"/>
        <v>-480584.33999999997</v>
      </c>
      <c r="D119" s="420">
        <f t="shared" si="20"/>
        <v>173598.74000000002</v>
      </c>
      <c r="E119" s="420">
        <f t="shared" si="20"/>
        <v>4587545.140000001</v>
      </c>
      <c r="F119" s="420">
        <f t="shared" si="20"/>
        <v>3920866.63</v>
      </c>
      <c r="G119" s="420">
        <f t="shared" si="20"/>
        <v>6594948.9399999995</v>
      </c>
      <c r="H119" s="420">
        <f t="shared" si="20"/>
        <v>3469110.48</v>
      </c>
      <c r="I119" s="420">
        <f t="shared" si="20"/>
        <v>1037104.5000000001</v>
      </c>
      <c r="J119" s="420">
        <f t="shared" si="20"/>
        <v>1615709.8</v>
      </c>
      <c r="K119" s="420">
        <f t="shared" si="20"/>
        <v>6641696.62</v>
      </c>
      <c r="L119" s="420">
        <f t="shared" si="20"/>
        <v>1133286.72</v>
      </c>
      <c r="M119" s="420">
        <f t="shared" si="20"/>
        <v>5755089.760000001</v>
      </c>
      <c r="N119" s="420">
        <f t="shared" si="20"/>
        <v>35503622.4</v>
      </c>
      <c r="O119" s="414"/>
    </row>
    <row r="120" spans="1:15" s="359" customFormat="1" ht="15">
      <c r="A120" s="359" t="s">
        <v>131</v>
      </c>
      <c r="B120" s="433"/>
      <c r="C120" s="433"/>
      <c r="D120" s="433"/>
      <c r="E120" s="433"/>
      <c r="F120" s="433"/>
      <c r="G120" s="433"/>
      <c r="H120" s="433"/>
      <c r="I120" s="433"/>
      <c r="J120" s="433"/>
      <c r="K120" s="433"/>
      <c r="L120" s="433"/>
      <c r="M120" s="433"/>
      <c r="N120" s="433"/>
      <c r="O120" s="432"/>
    </row>
    <row r="121" spans="1:15" s="348" customFormat="1" ht="13.5">
      <c r="A121" s="348" t="s">
        <v>59</v>
      </c>
      <c r="B121" s="420"/>
      <c r="C121" s="420"/>
      <c r="D121" s="420"/>
      <c r="E121" s="420"/>
      <c r="F121" s="420"/>
      <c r="G121" s="420"/>
      <c r="H121" s="420"/>
      <c r="I121" s="420"/>
      <c r="J121" s="420"/>
      <c r="K121" s="420"/>
      <c r="L121" s="420"/>
      <c r="M121" s="420"/>
      <c r="N121" s="420"/>
      <c r="O121" s="414"/>
    </row>
    <row r="122" spans="1:15" s="359" customFormat="1" ht="15">
      <c r="A122" s="359" t="s">
        <v>60</v>
      </c>
      <c r="B122" s="433">
        <v>163369.68</v>
      </c>
      <c r="C122" s="433">
        <v>225254.5</v>
      </c>
      <c r="D122" s="433">
        <v>1755597.4</v>
      </c>
      <c r="E122" s="433">
        <v>1811756.95</v>
      </c>
      <c r="F122" s="433">
        <v>1832057.15</v>
      </c>
      <c r="G122" s="433">
        <v>1830301.67</v>
      </c>
      <c r="H122" s="433">
        <v>1803673.04</v>
      </c>
      <c r="I122" s="433">
        <v>1796593.78</v>
      </c>
      <c r="J122" s="433">
        <v>1777961.09</v>
      </c>
      <c r="K122" s="433">
        <v>1863405.87</v>
      </c>
      <c r="L122" s="433">
        <v>1816837.33</v>
      </c>
      <c r="M122" s="433">
        <v>1934749.16</v>
      </c>
      <c r="N122" s="433">
        <v>18611557.62</v>
      </c>
      <c r="O122" s="412">
        <f aca="true" t="shared" si="21" ref="O122:O131">+N122-SUM(B122:M122)</f>
        <v>0</v>
      </c>
    </row>
    <row r="123" spans="1:15" s="359" customFormat="1" ht="15">
      <c r="A123" s="359" t="s">
        <v>61</v>
      </c>
      <c r="B123" s="433">
        <v>191130.23</v>
      </c>
      <c r="C123" s="433">
        <v>240609.66</v>
      </c>
      <c r="D123" s="433">
        <v>375923.17</v>
      </c>
      <c r="E123" s="433">
        <v>376903.91</v>
      </c>
      <c r="F123" s="433">
        <v>383474.87</v>
      </c>
      <c r="G123" s="433">
        <v>376134.44</v>
      </c>
      <c r="H123" s="433">
        <v>376532.7</v>
      </c>
      <c r="I123" s="433">
        <v>374448.76</v>
      </c>
      <c r="J123" s="433">
        <v>385510.09</v>
      </c>
      <c r="K123" s="433">
        <v>389224.51</v>
      </c>
      <c r="L123" s="433">
        <v>376762.18</v>
      </c>
      <c r="M123" s="433">
        <v>433114.74</v>
      </c>
      <c r="N123" s="433">
        <v>4279769.26</v>
      </c>
      <c r="O123" s="412">
        <f t="shared" si="21"/>
        <v>0</v>
      </c>
    </row>
    <row r="124" spans="1:15" s="359" customFormat="1" ht="15">
      <c r="A124" s="359" t="s">
        <v>62</v>
      </c>
      <c r="B124" s="433">
        <v>281584.13</v>
      </c>
      <c r="C124" s="433">
        <v>297052.66</v>
      </c>
      <c r="D124" s="433">
        <v>508629.81</v>
      </c>
      <c r="E124" s="433">
        <v>507465.64</v>
      </c>
      <c r="F124" s="433">
        <v>449131.35</v>
      </c>
      <c r="G124" s="433">
        <v>453266.56</v>
      </c>
      <c r="H124" s="433">
        <v>509889.64</v>
      </c>
      <c r="I124" s="433">
        <v>509101.45</v>
      </c>
      <c r="J124" s="433">
        <v>505564.48</v>
      </c>
      <c r="K124" s="433">
        <v>532173.35</v>
      </c>
      <c r="L124" s="433">
        <v>515362.24</v>
      </c>
      <c r="M124" s="433">
        <v>521210.14</v>
      </c>
      <c r="N124" s="433">
        <v>5590431.45</v>
      </c>
      <c r="O124" s="412">
        <f t="shared" si="21"/>
        <v>0</v>
      </c>
    </row>
    <row r="125" spans="1:15" s="359" customFormat="1" ht="15">
      <c r="A125" s="359" t="s">
        <v>63</v>
      </c>
      <c r="B125" s="433">
        <v>5374.74</v>
      </c>
      <c r="C125" s="433">
        <v>52021.51</v>
      </c>
      <c r="D125" s="433">
        <v>83869.41</v>
      </c>
      <c r="E125" s="433">
        <v>71989.14</v>
      </c>
      <c r="F125" s="433">
        <v>108277.81</v>
      </c>
      <c r="G125" s="433">
        <v>66980.15</v>
      </c>
      <c r="H125" s="433">
        <v>121151.64</v>
      </c>
      <c r="I125" s="433">
        <v>41532.79</v>
      </c>
      <c r="J125" s="433">
        <v>113949.91</v>
      </c>
      <c r="K125" s="433">
        <v>63902.43</v>
      </c>
      <c r="L125" s="433">
        <v>215266.13</v>
      </c>
      <c r="M125" s="433">
        <v>445544.49</v>
      </c>
      <c r="N125" s="433">
        <v>1389860.15</v>
      </c>
      <c r="O125" s="412">
        <f t="shared" si="21"/>
        <v>0</v>
      </c>
    </row>
    <row r="126" spans="1:15" s="359" customFormat="1" ht="15">
      <c r="A126" s="359" t="s">
        <v>64</v>
      </c>
      <c r="B126" s="433">
        <v>24374.88</v>
      </c>
      <c r="C126" s="433">
        <v>415108.14</v>
      </c>
      <c r="D126" s="433">
        <v>226948.02</v>
      </c>
      <c r="E126" s="433">
        <v>380728.91</v>
      </c>
      <c r="F126" s="433">
        <v>261654.14</v>
      </c>
      <c r="G126" s="433">
        <v>366887.62</v>
      </c>
      <c r="H126" s="433">
        <v>204995.54</v>
      </c>
      <c r="I126" s="433">
        <v>227538.89</v>
      </c>
      <c r="J126" s="433">
        <v>332433.98</v>
      </c>
      <c r="K126" s="433">
        <v>304867.17</v>
      </c>
      <c r="L126" s="433">
        <v>311485.1</v>
      </c>
      <c r="M126" s="433">
        <v>565130.45</v>
      </c>
      <c r="N126" s="433">
        <v>3622152.84</v>
      </c>
      <c r="O126" s="412">
        <f t="shared" si="21"/>
        <v>0</v>
      </c>
    </row>
    <row r="127" spans="1:15" s="359" customFormat="1" ht="15">
      <c r="A127" s="359" t="s">
        <v>65</v>
      </c>
      <c r="B127" s="433">
        <v>0</v>
      </c>
      <c r="C127" s="433">
        <v>19455.46</v>
      </c>
      <c r="D127" s="433">
        <v>1808.05</v>
      </c>
      <c r="E127" s="433">
        <v>191054.68</v>
      </c>
      <c r="F127" s="433">
        <v>43392.1</v>
      </c>
      <c r="G127" s="433">
        <v>27676.86</v>
      </c>
      <c r="H127" s="433">
        <v>21687.12</v>
      </c>
      <c r="I127" s="433">
        <v>965</v>
      </c>
      <c r="J127" s="433">
        <v>37594.81</v>
      </c>
      <c r="K127" s="433">
        <v>0</v>
      </c>
      <c r="L127" s="433">
        <v>14202.5</v>
      </c>
      <c r="M127" s="433">
        <v>71531.08</v>
      </c>
      <c r="N127" s="433">
        <v>429367.66</v>
      </c>
      <c r="O127" s="412">
        <f t="shared" si="21"/>
        <v>0</v>
      </c>
    </row>
    <row r="128" spans="1:15" s="359" customFormat="1" ht="15">
      <c r="A128" s="359" t="s">
        <v>66</v>
      </c>
      <c r="B128" s="433">
        <v>0</v>
      </c>
      <c r="C128" s="433">
        <v>224670.2</v>
      </c>
      <c r="D128" s="433">
        <v>0</v>
      </c>
      <c r="E128" s="433">
        <v>7531.84</v>
      </c>
      <c r="F128" s="433">
        <v>18265.48</v>
      </c>
      <c r="G128" s="433">
        <v>0</v>
      </c>
      <c r="H128" s="433">
        <v>9625.07</v>
      </c>
      <c r="I128" s="433">
        <v>75118</v>
      </c>
      <c r="J128" s="433">
        <v>0</v>
      </c>
      <c r="K128" s="433">
        <v>0</v>
      </c>
      <c r="L128" s="433">
        <v>400</v>
      </c>
      <c r="M128" s="433">
        <v>1297942.3</v>
      </c>
      <c r="N128" s="433">
        <v>1633552.89</v>
      </c>
      <c r="O128" s="412">
        <f t="shared" si="21"/>
        <v>0</v>
      </c>
    </row>
    <row r="129" spans="1:15" s="359" customFormat="1" ht="15">
      <c r="A129" s="359" t="s">
        <v>67</v>
      </c>
      <c r="B129" s="433">
        <v>0</v>
      </c>
      <c r="C129" s="433">
        <v>0</v>
      </c>
      <c r="D129" s="433">
        <v>0</v>
      </c>
      <c r="E129" s="433">
        <v>0</v>
      </c>
      <c r="F129" s="433">
        <v>0</v>
      </c>
      <c r="G129" s="433">
        <v>0</v>
      </c>
      <c r="H129" s="433">
        <v>0</v>
      </c>
      <c r="I129" s="433">
        <v>0</v>
      </c>
      <c r="J129" s="433">
        <v>114000</v>
      </c>
      <c r="K129" s="433">
        <v>0</v>
      </c>
      <c r="L129" s="433">
        <v>0</v>
      </c>
      <c r="M129" s="433">
        <v>203388.77</v>
      </c>
      <c r="N129" s="433">
        <v>317388.77</v>
      </c>
      <c r="O129" s="412">
        <f t="shared" si="21"/>
        <v>0</v>
      </c>
    </row>
    <row r="130" spans="1:15" s="359" customFormat="1" ht="15">
      <c r="A130" s="359" t="s">
        <v>68</v>
      </c>
      <c r="B130" s="433">
        <v>0</v>
      </c>
      <c r="C130" s="433">
        <v>0</v>
      </c>
      <c r="D130" s="433">
        <v>0</v>
      </c>
      <c r="E130" s="433">
        <v>0</v>
      </c>
      <c r="F130" s="433">
        <v>0</v>
      </c>
      <c r="G130" s="433">
        <v>0</v>
      </c>
      <c r="H130" s="433">
        <v>0</v>
      </c>
      <c r="I130" s="433">
        <v>0</v>
      </c>
      <c r="J130" s="433">
        <v>0</v>
      </c>
      <c r="K130" s="433">
        <v>0</v>
      </c>
      <c r="L130" s="433">
        <v>0</v>
      </c>
      <c r="M130" s="433">
        <v>0</v>
      </c>
      <c r="N130" s="433">
        <v>0</v>
      </c>
      <c r="O130" s="412">
        <f t="shared" si="21"/>
        <v>0</v>
      </c>
    </row>
    <row r="131" spans="1:15" s="359" customFormat="1" ht="18">
      <c r="A131" s="359" t="s">
        <v>8</v>
      </c>
      <c r="B131" s="421">
        <v>0</v>
      </c>
      <c r="C131" s="421">
        <v>0</v>
      </c>
      <c r="D131" s="421">
        <v>0</v>
      </c>
      <c r="E131" s="421">
        <v>0</v>
      </c>
      <c r="F131" s="421">
        <v>0</v>
      </c>
      <c r="G131" s="421">
        <v>0</v>
      </c>
      <c r="H131" s="421">
        <v>0</v>
      </c>
      <c r="I131" s="421">
        <v>0</v>
      </c>
      <c r="J131" s="421">
        <v>0</v>
      </c>
      <c r="K131" s="421">
        <v>0</v>
      </c>
      <c r="L131" s="421">
        <v>0</v>
      </c>
      <c r="M131" s="421">
        <v>0</v>
      </c>
      <c r="N131" s="421">
        <v>0</v>
      </c>
      <c r="O131" s="412">
        <f t="shared" si="21"/>
        <v>0</v>
      </c>
    </row>
    <row r="132" spans="1:15" s="348" customFormat="1" ht="13.5">
      <c r="A132" s="348" t="s">
        <v>153</v>
      </c>
      <c r="B132" s="420">
        <f aca="true" t="shared" si="22" ref="B132:N132">SUM(B122:B131)</f>
        <v>665833.66</v>
      </c>
      <c r="C132" s="420">
        <f t="shared" si="22"/>
        <v>1474172.1300000001</v>
      </c>
      <c r="D132" s="420">
        <f t="shared" si="22"/>
        <v>2952775.86</v>
      </c>
      <c r="E132" s="420">
        <f t="shared" si="22"/>
        <v>3347431.0700000003</v>
      </c>
      <c r="F132" s="420">
        <f t="shared" si="22"/>
        <v>3096252.9000000004</v>
      </c>
      <c r="G132" s="420">
        <f t="shared" si="22"/>
        <v>3121247.3</v>
      </c>
      <c r="H132" s="420">
        <f t="shared" si="22"/>
        <v>3047554.7500000005</v>
      </c>
      <c r="I132" s="420">
        <f t="shared" si="22"/>
        <v>3025298.6700000004</v>
      </c>
      <c r="J132" s="420">
        <f t="shared" si="22"/>
        <v>3267014.3600000003</v>
      </c>
      <c r="K132" s="420">
        <f t="shared" si="22"/>
        <v>3153573.33</v>
      </c>
      <c r="L132" s="420">
        <f t="shared" si="22"/>
        <v>3250315.48</v>
      </c>
      <c r="M132" s="420">
        <f t="shared" si="22"/>
        <v>5472611.13</v>
      </c>
      <c r="N132" s="420">
        <f t="shared" si="22"/>
        <v>35874080.64</v>
      </c>
      <c r="O132" s="337"/>
    </row>
    <row r="133" spans="1:15" s="359" customFormat="1" ht="15">
      <c r="A133" s="359" t="s">
        <v>131</v>
      </c>
      <c r="B133" s="433"/>
      <c r="C133" s="433"/>
      <c r="D133" s="433"/>
      <c r="E133" s="433"/>
      <c r="F133" s="433"/>
      <c r="G133" s="433"/>
      <c r="H133" s="433"/>
      <c r="I133" s="433"/>
      <c r="J133" s="433"/>
      <c r="K133" s="433"/>
      <c r="L133" s="433"/>
      <c r="M133" s="433"/>
      <c r="N133" s="433"/>
      <c r="O133" s="356"/>
    </row>
    <row r="134" spans="1:15" s="348" customFormat="1" ht="13.5">
      <c r="A134" s="348" t="s">
        <v>21</v>
      </c>
      <c r="B134" s="420">
        <f aca="true" t="shared" si="23" ref="B134:N134">+B119-B132</f>
        <v>389415.7499999999</v>
      </c>
      <c r="C134" s="420">
        <f t="shared" si="23"/>
        <v>-1954756.4700000002</v>
      </c>
      <c r="D134" s="420">
        <f t="shared" si="23"/>
        <v>-2779177.1199999996</v>
      </c>
      <c r="E134" s="420">
        <f t="shared" si="23"/>
        <v>1240114.0700000003</v>
      </c>
      <c r="F134" s="420">
        <f t="shared" si="23"/>
        <v>824613.7299999995</v>
      </c>
      <c r="G134" s="420">
        <f t="shared" si="23"/>
        <v>3473701.6399999997</v>
      </c>
      <c r="H134" s="420">
        <f t="shared" si="23"/>
        <v>421555.7299999995</v>
      </c>
      <c r="I134" s="420">
        <f t="shared" si="23"/>
        <v>-1988194.1700000004</v>
      </c>
      <c r="J134" s="420">
        <f t="shared" si="23"/>
        <v>-1651304.5600000003</v>
      </c>
      <c r="K134" s="420">
        <f t="shared" si="23"/>
        <v>3488123.29</v>
      </c>
      <c r="L134" s="420">
        <f t="shared" si="23"/>
        <v>-2117028.76</v>
      </c>
      <c r="M134" s="420">
        <f t="shared" si="23"/>
        <v>282478.6300000008</v>
      </c>
      <c r="N134" s="420">
        <f t="shared" si="23"/>
        <v>-370458.2400000021</v>
      </c>
      <c r="O134" s="337"/>
    </row>
    <row r="135" spans="1:15" s="359" customFormat="1" ht="15">
      <c r="A135" s="359" t="s">
        <v>131</v>
      </c>
      <c r="B135" s="433"/>
      <c r="C135" s="433"/>
      <c r="D135" s="433"/>
      <c r="E135" s="433"/>
      <c r="F135" s="433"/>
      <c r="G135" s="433"/>
      <c r="H135" s="433"/>
      <c r="I135" s="433"/>
      <c r="J135" s="433"/>
      <c r="K135" s="433"/>
      <c r="L135" s="433"/>
      <c r="M135" s="433"/>
      <c r="N135" s="433"/>
      <c r="O135" s="356"/>
    </row>
    <row r="136" spans="1:15" s="348" customFormat="1" ht="13.5">
      <c r="A136" s="348" t="s">
        <v>22</v>
      </c>
      <c r="B136" s="420"/>
      <c r="C136" s="420"/>
      <c r="D136" s="420"/>
      <c r="E136" s="420"/>
      <c r="F136" s="420"/>
      <c r="G136" s="420"/>
      <c r="H136" s="420"/>
      <c r="I136" s="420"/>
      <c r="J136" s="420"/>
      <c r="K136" s="420"/>
      <c r="L136" s="420"/>
      <c r="M136" s="420"/>
      <c r="N136" s="420"/>
      <c r="O136" s="337"/>
    </row>
    <row r="137" spans="1:15" s="359" customFormat="1" ht="15">
      <c r="A137" s="359" t="s">
        <v>23</v>
      </c>
      <c r="B137" s="433">
        <v>189573.26</v>
      </c>
      <c r="C137" s="433">
        <v>1020530.1</v>
      </c>
      <c r="D137" s="433">
        <v>1678788.76</v>
      </c>
      <c r="E137" s="433">
        <v>270420.37</v>
      </c>
      <c r="F137" s="433">
        <v>2176.73</v>
      </c>
      <c r="G137" s="433">
        <v>900</v>
      </c>
      <c r="H137" s="433">
        <v>204424</v>
      </c>
      <c r="I137" s="433">
        <v>69966.99</v>
      </c>
      <c r="J137" s="433">
        <v>0</v>
      </c>
      <c r="K137" s="433">
        <v>759.64</v>
      </c>
      <c r="L137" s="433">
        <v>0</v>
      </c>
      <c r="M137" s="433">
        <v>-1850710.76</v>
      </c>
      <c r="N137" s="433">
        <v>1586829.09</v>
      </c>
      <c r="O137" s="356"/>
    </row>
    <row r="138" spans="1:15" s="359" customFormat="1" ht="15">
      <c r="A138" s="359" t="s">
        <v>24</v>
      </c>
      <c r="B138" s="433">
        <v>703676.04</v>
      </c>
      <c r="C138" s="433">
        <v>365830.95</v>
      </c>
      <c r="D138" s="433">
        <v>621731.45</v>
      </c>
      <c r="E138" s="433">
        <v>18336.5</v>
      </c>
      <c r="F138" s="433">
        <v>41863.19</v>
      </c>
      <c r="G138" s="433">
        <v>10529.35</v>
      </c>
      <c r="H138" s="433">
        <v>126674.06</v>
      </c>
      <c r="I138" s="433">
        <v>4829.28</v>
      </c>
      <c r="J138" s="433">
        <v>-1108.6</v>
      </c>
      <c r="K138" s="433">
        <v>2453.58</v>
      </c>
      <c r="L138" s="433">
        <v>173067.77</v>
      </c>
      <c r="M138" s="433">
        <v>-1320318.34</v>
      </c>
      <c r="N138" s="433">
        <v>747565.23</v>
      </c>
      <c r="O138" s="356"/>
    </row>
    <row r="139" spans="1:15" s="359" customFormat="1" ht="18">
      <c r="A139" s="359" t="s">
        <v>88</v>
      </c>
      <c r="B139" s="421">
        <v>70887.83</v>
      </c>
      <c r="C139" s="421">
        <v>104538.62</v>
      </c>
      <c r="D139" s="421">
        <v>1452.13</v>
      </c>
      <c r="E139" s="421">
        <v>3088.34</v>
      </c>
      <c r="F139" s="421">
        <v>-24887.31</v>
      </c>
      <c r="G139" s="421">
        <v>-31859.75</v>
      </c>
      <c r="H139" s="421">
        <v>19149.43</v>
      </c>
      <c r="I139" s="421">
        <v>13292.83</v>
      </c>
      <c r="J139" s="421">
        <v>15206.84</v>
      </c>
      <c r="K139" s="421">
        <v>-10530.13</v>
      </c>
      <c r="L139" s="421">
        <v>-45348.31</v>
      </c>
      <c r="M139" s="421">
        <v>126271.07</v>
      </c>
      <c r="N139" s="421">
        <v>241261.59</v>
      </c>
      <c r="O139" s="356"/>
    </row>
    <row r="140" spans="1:15" s="348" customFormat="1" ht="13.5">
      <c r="A140" s="348" t="s">
        <v>89</v>
      </c>
      <c r="B140" s="420">
        <f aca="true" t="shared" si="24" ref="B140:N140">+B137-B138-B139</f>
        <v>-584990.61</v>
      </c>
      <c r="C140" s="420">
        <f t="shared" si="24"/>
        <v>550160.5299999999</v>
      </c>
      <c r="D140" s="420">
        <f t="shared" si="24"/>
        <v>1055605.1800000002</v>
      </c>
      <c r="E140" s="420">
        <f t="shared" si="24"/>
        <v>248995.53</v>
      </c>
      <c r="F140" s="420">
        <f t="shared" si="24"/>
        <v>-14799.149999999998</v>
      </c>
      <c r="G140" s="420">
        <f t="shared" si="24"/>
        <v>22230.4</v>
      </c>
      <c r="H140" s="420">
        <f t="shared" si="24"/>
        <v>58600.51</v>
      </c>
      <c r="I140" s="420">
        <f t="shared" si="24"/>
        <v>51844.880000000005</v>
      </c>
      <c r="J140" s="420">
        <f t="shared" si="24"/>
        <v>-14098.24</v>
      </c>
      <c r="K140" s="420">
        <f t="shared" si="24"/>
        <v>8836.189999999999</v>
      </c>
      <c r="L140" s="420">
        <f t="shared" si="24"/>
        <v>-127719.45999999999</v>
      </c>
      <c r="M140" s="420">
        <f t="shared" si="24"/>
        <v>-656663.49</v>
      </c>
      <c r="N140" s="420">
        <f t="shared" si="24"/>
        <v>598002.2700000001</v>
      </c>
      <c r="O140" s="337"/>
    </row>
    <row r="141" spans="1:15" s="359" customFormat="1" ht="15">
      <c r="A141" s="359" t="s">
        <v>131</v>
      </c>
      <c r="B141" s="433"/>
      <c r="C141" s="433"/>
      <c r="D141" s="433"/>
      <c r="E141" s="433"/>
      <c r="F141" s="433"/>
      <c r="G141" s="433"/>
      <c r="H141" s="433"/>
      <c r="I141" s="433"/>
      <c r="J141" s="433"/>
      <c r="K141" s="433"/>
      <c r="L141" s="433"/>
      <c r="M141" s="433"/>
      <c r="N141" s="433"/>
      <c r="O141" s="356"/>
    </row>
    <row r="142" spans="1:15" s="348" customFormat="1" ht="13.5">
      <c r="A142" s="348" t="s">
        <v>90</v>
      </c>
      <c r="B142" s="420">
        <v>0</v>
      </c>
      <c r="C142" s="420">
        <v>0</v>
      </c>
      <c r="D142" s="420">
        <v>0</v>
      </c>
      <c r="E142" s="420">
        <v>0</v>
      </c>
      <c r="F142" s="420">
        <v>0</v>
      </c>
      <c r="G142" s="420">
        <v>0</v>
      </c>
      <c r="H142" s="420">
        <v>0</v>
      </c>
      <c r="I142" s="420">
        <v>0</v>
      </c>
      <c r="J142" s="420">
        <v>0</v>
      </c>
      <c r="K142" s="420">
        <v>0</v>
      </c>
      <c r="L142" s="420">
        <v>0</v>
      </c>
      <c r="M142" s="420">
        <v>0</v>
      </c>
      <c r="N142" s="420">
        <v>0</v>
      </c>
      <c r="O142" s="337"/>
    </row>
    <row r="143" spans="1:15" s="359" customFormat="1" ht="15">
      <c r="A143" s="359" t="s">
        <v>131</v>
      </c>
      <c r="B143" s="433"/>
      <c r="C143" s="433"/>
      <c r="D143" s="433"/>
      <c r="E143" s="433"/>
      <c r="F143" s="433"/>
      <c r="G143" s="433"/>
      <c r="H143" s="433"/>
      <c r="I143" s="433"/>
      <c r="J143" s="433"/>
      <c r="K143" s="433"/>
      <c r="L143" s="433"/>
      <c r="M143" s="433"/>
      <c r="N143" s="433"/>
      <c r="O143" s="356"/>
    </row>
    <row r="144" spans="1:15" s="348" customFormat="1" ht="16.5">
      <c r="A144" s="348" t="s">
        <v>91</v>
      </c>
      <c r="B144" s="422">
        <f aca="true" t="shared" si="25" ref="B144:N144">+B134+B140+B142</f>
        <v>-195574.8600000001</v>
      </c>
      <c r="C144" s="422">
        <f t="shared" si="25"/>
        <v>-1404595.9400000004</v>
      </c>
      <c r="D144" s="422">
        <f t="shared" si="25"/>
        <v>-1723571.9399999995</v>
      </c>
      <c r="E144" s="422">
        <f t="shared" si="25"/>
        <v>1489109.6000000003</v>
      </c>
      <c r="F144" s="422">
        <f t="shared" si="25"/>
        <v>809814.5799999995</v>
      </c>
      <c r="G144" s="422">
        <f t="shared" si="25"/>
        <v>3495932.0399999996</v>
      </c>
      <c r="H144" s="422">
        <f t="shared" si="25"/>
        <v>480156.2399999995</v>
      </c>
      <c r="I144" s="422">
        <f t="shared" si="25"/>
        <v>-1936349.2900000005</v>
      </c>
      <c r="J144" s="422">
        <f t="shared" si="25"/>
        <v>-1665402.8000000003</v>
      </c>
      <c r="K144" s="422">
        <f t="shared" si="25"/>
        <v>3496959.48</v>
      </c>
      <c r="L144" s="422">
        <f t="shared" si="25"/>
        <v>-2244748.2199999997</v>
      </c>
      <c r="M144" s="422">
        <f t="shared" si="25"/>
        <v>-374184.8599999992</v>
      </c>
      <c r="N144" s="422">
        <f t="shared" si="25"/>
        <v>227544.02999999805</v>
      </c>
      <c r="O144" s="337"/>
    </row>
    <row r="145" spans="1:15" s="359" customFormat="1" ht="15">
      <c r="A145" s="359" t="s">
        <v>131</v>
      </c>
      <c r="B145" s="433"/>
      <c r="C145" s="433"/>
      <c r="D145" s="433"/>
      <c r="E145" s="433"/>
      <c r="F145" s="433"/>
      <c r="G145" s="433"/>
      <c r="H145" s="433"/>
      <c r="I145" s="433"/>
      <c r="J145" s="433"/>
      <c r="K145" s="433"/>
      <c r="L145" s="433"/>
      <c r="M145" s="433"/>
      <c r="N145" s="433"/>
      <c r="O145" s="356"/>
    </row>
    <row r="146" spans="1:15" s="348" customFormat="1" ht="16.5">
      <c r="A146" s="348" t="s">
        <v>92</v>
      </c>
      <c r="B146" s="423">
        <f aca="true" t="shared" si="26" ref="B146:N146">+B144+B107</f>
        <v>2711452.96</v>
      </c>
      <c r="C146" s="423">
        <f t="shared" si="26"/>
        <v>1306857.0199999996</v>
      </c>
      <c r="D146" s="423">
        <f t="shared" si="26"/>
        <v>-416714.91999999946</v>
      </c>
      <c r="E146" s="423">
        <f t="shared" si="26"/>
        <v>1072394.6800000004</v>
      </c>
      <c r="F146" s="423">
        <f t="shared" si="26"/>
        <v>1882209.2599999993</v>
      </c>
      <c r="G146" s="423">
        <f t="shared" si="26"/>
        <v>5378141.3</v>
      </c>
      <c r="H146" s="423">
        <f t="shared" si="26"/>
        <v>5858297.539999999</v>
      </c>
      <c r="I146" s="423">
        <f t="shared" si="26"/>
        <v>3921948.2499999995</v>
      </c>
      <c r="J146" s="423">
        <f t="shared" si="26"/>
        <v>2256545.4499999997</v>
      </c>
      <c r="K146" s="423">
        <f t="shared" si="26"/>
        <v>5753504.93</v>
      </c>
      <c r="L146" s="423">
        <f t="shared" si="26"/>
        <v>3508756.71</v>
      </c>
      <c r="M146" s="423">
        <f t="shared" si="26"/>
        <v>3134571.8500000006</v>
      </c>
      <c r="N146" s="423">
        <f t="shared" si="26"/>
        <v>3134571.8499999978</v>
      </c>
      <c r="O146" s="337"/>
    </row>
    <row r="147" spans="1:15" s="359" customFormat="1" ht="15">
      <c r="A147" s="359" t="s">
        <v>93</v>
      </c>
      <c r="B147" s="433">
        <f aca="true" t="shared" si="27" ref="B147:N147">+B107+B144-B146</f>
        <v>0</v>
      </c>
      <c r="C147" s="433">
        <f t="shared" si="27"/>
        <v>0</v>
      </c>
      <c r="D147" s="433">
        <f t="shared" si="27"/>
        <v>0</v>
      </c>
      <c r="E147" s="433">
        <f t="shared" si="27"/>
        <v>0</v>
      </c>
      <c r="F147" s="433">
        <f t="shared" si="27"/>
        <v>0</v>
      </c>
      <c r="G147" s="433">
        <f t="shared" si="27"/>
        <v>0</v>
      </c>
      <c r="H147" s="433">
        <f t="shared" si="27"/>
        <v>0</v>
      </c>
      <c r="I147" s="433">
        <f t="shared" si="27"/>
        <v>0</v>
      </c>
      <c r="J147" s="433">
        <f t="shared" si="27"/>
        <v>0</v>
      </c>
      <c r="K147" s="433">
        <f t="shared" si="27"/>
        <v>0</v>
      </c>
      <c r="L147" s="433">
        <f t="shared" si="27"/>
        <v>0</v>
      </c>
      <c r="M147" s="433">
        <f t="shared" si="27"/>
        <v>0</v>
      </c>
      <c r="N147" s="433">
        <f t="shared" si="27"/>
        <v>0</v>
      </c>
      <c r="O147" s="356"/>
    </row>
    <row r="148" spans="2:15" s="359" customFormat="1" ht="15">
      <c r="B148" s="433"/>
      <c r="C148" s="433"/>
      <c r="D148" s="433"/>
      <c r="E148" s="433"/>
      <c r="F148" s="433"/>
      <c r="G148" s="433"/>
      <c r="H148" s="433"/>
      <c r="I148" s="433"/>
      <c r="J148" s="433"/>
      <c r="K148" s="433"/>
      <c r="L148" s="433"/>
      <c r="M148" s="433"/>
      <c r="N148" s="433"/>
      <c r="O148" s="356"/>
    </row>
    <row r="149" spans="1:15" s="353" customFormat="1" ht="13.5">
      <c r="A149" s="352" t="s">
        <v>95</v>
      </c>
      <c r="B149" s="349" t="s">
        <v>180</v>
      </c>
      <c r="C149" s="349" t="s">
        <v>182</v>
      </c>
      <c r="D149" s="349" t="s">
        <v>183</v>
      </c>
      <c r="E149" s="349" t="s">
        <v>184</v>
      </c>
      <c r="F149" s="349" t="s">
        <v>185</v>
      </c>
      <c r="G149" s="349" t="s">
        <v>205</v>
      </c>
      <c r="H149" s="349" t="s">
        <v>206</v>
      </c>
      <c r="I149" s="349" t="s">
        <v>207</v>
      </c>
      <c r="J149" s="349" t="s">
        <v>253</v>
      </c>
      <c r="K149" s="349" t="s">
        <v>254</v>
      </c>
      <c r="L149" s="349" t="s">
        <v>255</v>
      </c>
      <c r="M149" s="349" t="s">
        <v>256</v>
      </c>
      <c r="N149" s="349" t="s">
        <v>149</v>
      </c>
      <c r="O149" s="340" t="s">
        <v>96</v>
      </c>
    </row>
    <row r="150" spans="1:15" s="353" customFormat="1" ht="13.5">
      <c r="A150" s="352" t="s">
        <v>117</v>
      </c>
      <c r="B150" s="424"/>
      <c r="C150" s="424"/>
      <c r="D150" s="424"/>
      <c r="E150" s="424"/>
      <c r="F150" s="424"/>
      <c r="G150" s="424"/>
      <c r="H150" s="424"/>
      <c r="I150" s="424"/>
      <c r="J150" s="424"/>
      <c r="K150" s="424"/>
      <c r="L150" s="424"/>
      <c r="M150" s="424"/>
      <c r="N150" s="424"/>
      <c r="O150" s="340"/>
    </row>
    <row r="151" spans="1:15" s="353" customFormat="1" ht="13.5">
      <c r="A151" s="353" t="s">
        <v>45</v>
      </c>
      <c r="B151" s="424"/>
      <c r="C151" s="424"/>
      <c r="D151" s="424"/>
      <c r="E151" s="424"/>
      <c r="F151" s="424"/>
      <c r="G151" s="424"/>
      <c r="H151" s="424"/>
      <c r="I151" s="424"/>
      <c r="J151" s="424"/>
      <c r="K151" s="424"/>
      <c r="L151" s="424"/>
      <c r="M151" s="424"/>
      <c r="N151" s="424"/>
      <c r="O151" s="340"/>
    </row>
    <row r="152" spans="1:15" s="353" customFormat="1" ht="13.5">
      <c r="A152" s="353" t="s">
        <v>46</v>
      </c>
      <c r="B152" s="425">
        <f aca="true" t="shared" si="28" ref="B152:N160">+IF($N111=0,0,+ROUND(B111/$N111,4))</f>
        <v>0</v>
      </c>
      <c r="C152" s="425">
        <f t="shared" si="28"/>
        <v>0</v>
      </c>
      <c r="D152" s="425">
        <f t="shared" si="28"/>
        <v>0.0035</v>
      </c>
      <c r="E152" s="425">
        <f t="shared" si="28"/>
        <v>0.0631</v>
      </c>
      <c r="F152" s="425">
        <f t="shared" si="28"/>
        <v>0.074</v>
      </c>
      <c r="G152" s="425">
        <f t="shared" si="28"/>
        <v>0.2845</v>
      </c>
      <c r="H152" s="425">
        <f t="shared" si="28"/>
        <v>0.1089</v>
      </c>
      <c r="I152" s="425">
        <f t="shared" si="28"/>
        <v>0.002</v>
      </c>
      <c r="J152" s="425">
        <f t="shared" si="28"/>
        <v>0.0601</v>
      </c>
      <c r="K152" s="425">
        <f t="shared" si="28"/>
        <v>0.2863</v>
      </c>
      <c r="L152" s="425">
        <f t="shared" si="28"/>
        <v>0.0118</v>
      </c>
      <c r="M152" s="425">
        <f t="shared" si="28"/>
        <v>0.1057</v>
      </c>
      <c r="N152" s="425">
        <f t="shared" si="28"/>
        <v>1</v>
      </c>
      <c r="O152" s="408">
        <f aca="true" t="shared" si="29" ref="O152:O160">+N152-SUM(B152:M152)</f>
        <v>9.999999999987796E-05</v>
      </c>
    </row>
    <row r="153" spans="1:15" s="353" customFormat="1" ht="13.5">
      <c r="A153" s="353" t="s">
        <v>47</v>
      </c>
      <c r="B153" s="425">
        <f t="shared" si="28"/>
        <v>0</v>
      </c>
      <c r="C153" s="425">
        <f t="shared" si="28"/>
        <v>0.0751</v>
      </c>
      <c r="D153" s="425">
        <f t="shared" si="28"/>
        <v>0.1111</v>
      </c>
      <c r="E153" s="425">
        <f t="shared" si="28"/>
        <v>0.1093</v>
      </c>
      <c r="F153" s="425">
        <f t="shared" si="28"/>
        <v>0.0557</v>
      </c>
      <c r="G153" s="425">
        <f t="shared" si="28"/>
        <v>0</v>
      </c>
      <c r="H153" s="425">
        <f t="shared" si="28"/>
        <v>0.3279</v>
      </c>
      <c r="I153" s="425">
        <f t="shared" si="28"/>
        <v>0</v>
      </c>
      <c r="J153" s="425">
        <f t="shared" si="28"/>
        <v>0.0846</v>
      </c>
      <c r="K153" s="425">
        <f t="shared" si="28"/>
        <v>0.0604</v>
      </c>
      <c r="L153" s="425">
        <f t="shared" si="28"/>
        <v>0.2916</v>
      </c>
      <c r="M153" s="425">
        <f t="shared" si="28"/>
        <v>-0.1158</v>
      </c>
      <c r="N153" s="425">
        <f t="shared" si="28"/>
        <v>1</v>
      </c>
      <c r="O153" s="408">
        <f t="shared" si="29"/>
        <v>9.999999999987796E-05</v>
      </c>
    </row>
    <row r="154" spans="1:15" s="353" customFormat="1" ht="13.5">
      <c r="A154" s="353" t="s">
        <v>48</v>
      </c>
      <c r="B154" s="425">
        <f t="shared" si="28"/>
        <v>0.0043</v>
      </c>
      <c r="C154" s="425">
        <f t="shared" si="28"/>
        <v>0.0044</v>
      </c>
      <c r="D154" s="425">
        <f t="shared" si="28"/>
        <v>0.0055</v>
      </c>
      <c r="E154" s="425">
        <f t="shared" si="28"/>
        <v>0.0055</v>
      </c>
      <c r="F154" s="425">
        <f t="shared" si="28"/>
        <v>0.0054</v>
      </c>
      <c r="G154" s="425">
        <f t="shared" si="28"/>
        <v>0.0054</v>
      </c>
      <c r="H154" s="425">
        <f t="shared" si="28"/>
        <v>0.0305</v>
      </c>
      <c r="I154" s="425">
        <f t="shared" si="28"/>
        <v>0.0056</v>
      </c>
      <c r="J154" s="425">
        <f t="shared" si="28"/>
        <v>0.0055</v>
      </c>
      <c r="K154" s="425">
        <f t="shared" si="28"/>
        <v>0.0056</v>
      </c>
      <c r="L154" s="425">
        <f t="shared" si="28"/>
        <v>0.0538</v>
      </c>
      <c r="M154" s="425">
        <f t="shared" si="28"/>
        <v>0.8686</v>
      </c>
      <c r="N154" s="425">
        <f t="shared" si="28"/>
        <v>1</v>
      </c>
      <c r="O154" s="408">
        <f t="shared" si="29"/>
        <v>-9.999999999998899E-05</v>
      </c>
    </row>
    <row r="155" spans="1:15" s="353" customFormat="1" ht="13.5">
      <c r="A155" s="353" t="s">
        <v>49</v>
      </c>
      <c r="B155" s="425">
        <f t="shared" si="28"/>
        <v>0.1919</v>
      </c>
      <c r="C155" s="425">
        <f t="shared" si="28"/>
        <v>0.0456</v>
      </c>
      <c r="D155" s="425">
        <f t="shared" si="28"/>
        <v>-0.0472</v>
      </c>
      <c r="E155" s="425">
        <f t="shared" si="28"/>
        <v>-0.0347</v>
      </c>
      <c r="F155" s="425">
        <f t="shared" si="28"/>
        <v>0.0411</v>
      </c>
      <c r="G155" s="425">
        <f t="shared" si="28"/>
        <v>0.0169</v>
      </c>
      <c r="H155" s="425">
        <f t="shared" si="28"/>
        <v>0.08</v>
      </c>
      <c r="I155" s="425">
        <f t="shared" si="28"/>
        <v>0.2595</v>
      </c>
      <c r="J155" s="425">
        <f t="shared" si="28"/>
        <v>0.0251</v>
      </c>
      <c r="K155" s="425">
        <f t="shared" si="28"/>
        <v>0.0472</v>
      </c>
      <c r="L155" s="425">
        <f t="shared" si="28"/>
        <v>0.2117</v>
      </c>
      <c r="M155" s="425">
        <f t="shared" si="28"/>
        <v>0.163</v>
      </c>
      <c r="N155" s="425">
        <f t="shared" si="28"/>
        <v>1</v>
      </c>
      <c r="O155" s="408">
        <f t="shared" si="29"/>
        <v>-9.999999999998899E-05</v>
      </c>
    </row>
    <row r="156" spans="1:15" s="353" customFormat="1" ht="13.5">
      <c r="A156" s="353" t="s">
        <v>50</v>
      </c>
      <c r="B156" s="425">
        <f t="shared" si="28"/>
        <v>0.1895</v>
      </c>
      <c r="C156" s="425">
        <f t="shared" si="28"/>
        <v>-0.169</v>
      </c>
      <c r="D156" s="425">
        <f t="shared" si="28"/>
        <v>-0.0119</v>
      </c>
      <c r="E156" s="425">
        <f t="shared" si="28"/>
        <v>0.1036</v>
      </c>
      <c r="F156" s="425">
        <f t="shared" si="28"/>
        <v>0.0369</v>
      </c>
      <c r="G156" s="425">
        <f t="shared" si="28"/>
        <v>0.1345</v>
      </c>
      <c r="H156" s="425">
        <f t="shared" si="28"/>
        <v>0.1475</v>
      </c>
      <c r="I156" s="425">
        <f t="shared" si="28"/>
        <v>0.1552</v>
      </c>
      <c r="J156" s="425">
        <f t="shared" si="28"/>
        <v>0.0419</v>
      </c>
      <c r="K156" s="425">
        <f t="shared" si="28"/>
        <v>0.0604</v>
      </c>
      <c r="L156" s="425">
        <f t="shared" si="28"/>
        <v>0.0287</v>
      </c>
      <c r="M156" s="425">
        <f t="shared" si="28"/>
        <v>0.2827</v>
      </c>
      <c r="N156" s="425">
        <f t="shared" si="28"/>
        <v>1</v>
      </c>
      <c r="O156" s="408">
        <f t="shared" si="29"/>
        <v>0</v>
      </c>
    </row>
    <row r="157" spans="1:15" s="353" customFormat="1" ht="13.5">
      <c r="A157" s="353" t="s">
        <v>51</v>
      </c>
      <c r="B157" s="425">
        <f t="shared" si="28"/>
        <v>0</v>
      </c>
      <c r="C157" s="425">
        <f t="shared" si="28"/>
        <v>0.0368</v>
      </c>
      <c r="D157" s="425">
        <f t="shared" si="28"/>
        <v>0.0627</v>
      </c>
      <c r="E157" s="425">
        <f t="shared" si="28"/>
        <v>0.1501</v>
      </c>
      <c r="F157" s="425">
        <f t="shared" si="28"/>
        <v>0.0537</v>
      </c>
      <c r="G157" s="425">
        <f t="shared" si="28"/>
        <v>0.0248</v>
      </c>
      <c r="H157" s="425">
        <f t="shared" si="28"/>
        <v>0.0934</v>
      </c>
      <c r="I157" s="425">
        <f t="shared" si="28"/>
        <v>-0.0108</v>
      </c>
      <c r="J157" s="425">
        <f t="shared" si="28"/>
        <v>0.0387</v>
      </c>
      <c r="K157" s="425">
        <f t="shared" si="28"/>
        <v>0.131</v>
      </c>
      <c r="L157" s="425">
        <f t="shared" si="28"/>
        <v>0.0842</v>
      </c>
      <c r="M157" s="425">
        <f t="shared" si="28"/>
        <v>0.3353</v>
      </c>
      <c r="N157" s="425">
        <f t="shared" si="28"/>
        <v>1</v>
      </c>
      <c r="O157" s="408">
        <f t="shared" si="29"/>
        <v>9.999999999998899E-05</v>
      </c>
    </row>
    <row r="158" spans="1:15" s="353" customFormat="1" ht="13.5">
      <c r="A158" s="353" t="s">
        <v>128</v>
      </c>
      <c r="B158" s="425">
        <f t="shared" si="28"/>
        <v>0</v>
      </c>
      <c r="C158" s="425">
        <f t="shared" si="28"/>
        <v>0</v>
      </c>
      <c r="D158" s="425">
        <f t="shared" si="28"/>
        <v>0</v>
      </c>
      <c r="E158" s="425">
        <f t="shared" si="28"/>
        <v>0.5158</v>
      </c>
      <c r="F158" s="425">
        <f t="shared" si="28"/>
        <v>0.4127</v>
      </c>
      <c r="G158" s="425">
        <f t="shared" si="28"/>
        <v>0</v>
      </c>
      <c r="H158" s="425">
        <f t="shared" si="28"/>
        <v>0</v>
      </c>
      <c r="I158" s="425">
        <f t="shared" si="28"/>
        <v>0</v>
      </c>
      <c r="J158" s="425">
        <f t="shared" si="28"/>
        <v>0</v>
      </c>
      <c r="K158" s="425">
        <f t="shared" si="28"/>
        <v>0</v>
      </c>
      <c r="L158" s="425">
        <f t="shared" si="28"/>
        <v>0</v>
      </c>
      <c r="M158" s="425">
        <f t="shared" si="28"/>
        <v>0.0715</v>
      </c>
      <c r="N158" s="425">
        <f t="shared" si="28"/>
        <v>1</v>
      </c>
      <c r="O158" s="408">
        <f t="shared" si="29"/>
        <v>0</v>
      </c>
    </row>
    <row r="159" spans="1:15" s="353" customFormat="1" ht="13.5">
      <c r="A159" s="353" t="s">
        <v>129</v>
      </c>
      <c r="B159" s="425">
        <f t="shared" si="28"/>
        <v>0</v>
      </c>
      <c r="C159" s="425">
        <f t="shared" si="28"/>
        <v>0</v>
      </c>
      <c r="D159" s="425">
        <f t="shared" si="28"/>
        <v>0</v>
      </c>
      <c r="E159" s="425">
        <f t="shared" si="28"/>
        <v>0</v>
      </c>
      <c r="F159" s="425">
        <f t="shared" si="28"/>
        <v>0</v>
      </c>
      <c r="G159" s="425">
        <f t="shared" si="28"/>
        <v>0</v>
      </c>
      <c r="H159" s="425">
        <f t="shared" si="28"/>
        <v>0</v>
      </c>
      <c r="I159" s="425">
        <f t="shared" si="28"/>
        <v>0</v>
      </c>
      <c r="J159" s="425">
        <f t="shared" si="28"/>
        <v>0</v>
      </c>
      <c r="K159" s="425">
        <f t="shared" si="28"/>
        <v>0</v>
      </c>
      <c r="L159" s="425">
        <f t="shared" si="28"/>
        <v>0</v>
      </c>
      <c r="M159" s="425">
        <f t="shared" si="28"/>
        <v>0</v>
      </c>
      <c r="N159" s="425">
        <f t="shared" si="28"/>
        <v>0</v>
      </c>
      <c r="O159" s="408">
        <f t="shared" si="29"/>
        <v>0</v>
      </c>
    </row>
    <row r="160" spans="1:15" s="353" customFormat="1" ht="13.5">
      <c r="A160" s="352" t="s">
        <v>130</v>
      </c>
      <c r="B160" s="425">
        <f t="shared" si="28"/>
        <v>0.0297</v>
      </c>
      <c r="C160" s="425">
        <f t="shared" si="28"/>
        <v>-0.0135</v>
      </c>
      <c r="D160" s="425">
        <f t="shared" si="28"/>
        <v>0.0049</v>
      </c>
      <c r="E160" s="425">
        <f t="shared" si="28"/>
        <v>0.1292</v>
      </c>
      <c r="F160" s="425">
        <f t="shared" si="28"/>
        <v>0.1104</v>
      </c>
      <c r="G160" s="425">
        <f t="shared" si="28"/>
        <v>0.1858</v>
      </c>
      <c r="H160" s="425">
        <f t="shared" si="28"/>
        <v>0.0977</v>
      </c>
      <c r="I160" s="425">
        <f t="shared" si="28"/>
        <v>0.0292</v>
      </c>
      <c r="J160" s="425">
        <f t="shared" si="28"/>
        <v>0.0455</v>
      </c>
      <c r="K160" s="425">
        <f t="shared" si="28"/>
        <v>0.1871</v>
      </c>
      <c r="L160" s="425">
        <f t="shared" si="28"/>
        <v>0.0319</v>
      </c>
      <c r="M160" s="425">
        <f t="shared" si="28"/>
        <v>0.1621</v>
      </c>
      <c r="N160" s="425">
        <f t="shared" si="28"/>
        <v>1</v>
      </c>
      <c r="O160" s="408">
        <f t="shared" si="29"/>
        <v>0</v>
      </c>
    </row>
    <row r="161" spans="1:15" s="353" customFormat="1" ht="13.5">
      <c r="A161" s="353" t="s">
        <v>131</v>
      </c>
      <c r="B161" s="424"/>
      <c r="C161" s="424"/>
      <c r="D161" s="424"/>
      <c r="E161" s="424"/>
      <c r="F161" s="424"/>
      <c r="G161" s="424"/>
      <c r="H161" s="424"/>
      <c r="I161" s="424"/>
      <c r="J161" s="424"/>
      <c r="K161" s="424"/>
      <c r="L161" s="424"/>
      <c r="M161" s="424"/>
      <c r="N161" s="424"/>
      <c r="O161" s="340"/>
    </row>
    <row r="162" spans="1:15" s="353" customFormat="1" ht="13.5">
      <c r="A162" s="352" t="s">
        <v>59</v>
      </c>
      <c r="B162" s="424"/>
      <c r="C162" s="424"/>
      <c r="D162" s="424"/>
      <c r="E162" s="424"/>
      <c r="F162" s="424"/>
      <c r="G162" s="424"/>
      <c r="H162" s="424"/>
      <c r="I162" s="424"/>
      <c r="J162" s="424"/>
      <c r="K162" s="424"/>
      <c r="L162" s="424"/>
      <c r="M162" s="424"/>
      <c r="N162" s="424"/>
      <c r="O162" s="340"/>
    </row>
    <row r="163" spans="1:15" s="353" customFormat="1" ht="13.5">
      <c r="A163" s="353" t="s">
        <v>60</v>
      </c>
      <c r="B163" s="425">
        <f aca="true" t="shared" si="30" ref="B163:N173">+IF($N122=0,0,+ROUND(B122/$N122,4))</f>
        <v>0.0088</v>
      </c>
      <c r="C163" s="425">
        <f t="shared" si="30"/>
        <v>0.0121</v>
      </c>
      <c r="D163" s="425">
        <f t="shared" si="30"/>
        <v>0.0943</v>
      </c>
      <c r="E163" s="425">
        <f t="shared" si="30"/>
        <v>0.0973</v>
      </c>
      <c r="F163" s="425">
        <f t="shared" si="30"/>
        <v>0.0984</v>
      </c>
      <c r="G163" s="425">
        <f t="shared" si="30"/>
        <v>0.0983</v>
      </c>
      <c r="H163" s="425">
        <f t="shared" si="30"/>
        <v>0.0969</v>
      </c>
      <c r="I163" s="425">
        <f t="shared" si="30"/>
        <v>0.0965</v>
      </c>
      <c r="J163" s="425">
        <f t="shared" si="30"/>
        <v>0.0955</v>
      </c>
      <c r="K163" s="425">
        <f t="shared" si="30"/>
        <v>0.1001</v>
      </c>
      <c r="L163" s="425">
        <f t="shared" si="30"/>
        <v>0.0976</v>
      </c>
      <c r="M163" s="425">
        <f t="shared" si="30"/>
        <v>0.104</v>
      </c>
      <c r="N163" s="425">
        <f t="shared" si="30"/>
        <v>1</v>
      </c>
      <c r="O163" s="408">
        <f aca="true" t="shared" si="31" ref="O163:O173">+N163-SUM(B163:M163)</f>
        <v>0.00019999999999997797</v>
      </c>
    </row>
    <row r="164" spans="1:15" s="353" customFormat="1" ht="13.5">
      <c r="A164" s="353" t="s">
        <v>61</v>
      </c>
      <c r="B164" s="425">
        <f t="shared" si="30"/>
        <v>0.0447</v>
      </c>
      <c r="C164" s="425">
        <f t="shared" si="30"/>
        <v>0.0562</v>
      </c>
      <c r="D164" s="425">
        <f t="shared" si="30"/>
        <v>0.0878</v>
      </c>
      <c r="E164" s="425">
        <f t="shared" si="30"/>
        <v>0.0881</v>
      </c>
      <c r="F164" s="425">
        <f t="shared" si="30"/>
        <v>0.0896</v>
      </c>
      <c r="G164" s="425">
        <f t="shared" si="30"/>
        <v>0.0879</v>
      </c>
      <c r="H164" s="425">
        <f t="shared" si="30"/>
        <v>0.088</v>
      </c>
      <c r="I164" s="425">
        <f t="shared" si="30"/>
        <v>0.0875</v>
      </c>
      <c r="J164" s="425">
        <f t="shared" si="30"/>
        <v>0.0901</v>
      </c>
      <c r="K164" s="425">
        <f t="shared" si="30"/>
        <v>0.0909</v>
      </c>
      <c r="L164" s="425">
        <f t="shared" si="30"/>
        <v>0.088</v>
      </c>
      <c r="M164" s="425">
        <f t="shared" si="30"/>
        <v>0.1012</v>
      </c>
      <c r="N164" s="425">
        <f t="shared" si="30"/>
        <v>1</v>
      </c>
      <c r="O164" s="408">
        <f t="shared" si="31"/>
        <v>0</v>
      </c>
    </row>
    <row r="165" spans="1:15" s="353" customFormat="1" ht="13.5">
      <c r="A165" s="353" t="s">
        <v>62</v>
      </c>
      <c r="B165" s="425">
        <f t="shared" si="30"/>
        <v>0.0504</v>
      </c>
      <c r="C165" s="425">
        <f t="shared" si="30"/>
        <v>0.0531</v>
      </c>
      <c r="D165" s="425">
        <f t="shared" si="30"/>
        <v>0.091</v>
      </c>
      <c r="E165" s="425">
        <f t="shared" si="30"/>
        <v>0.0908</v>
      </c>
      <c r="F165" s="425">
        <f t="shared" si="30"/>
        <v>0.0803</v>
      </c>
      <c r="G165" s="425">
        <f t="shared" si="30"/>
        <v>0.0811</v>
      </c>
      <c r="H165" s="425">
        <f t="shared" si="30"/>
        <v>0.0912</v>
      </c>
      <c r="I165" s="425">
        <f t="shared" si="30"/>
        <v>0.0911</v>
      </c>
      <c r="J165" s="425">
        <f t="shared" si="30"/>
        <v>0.0904</v>
      </c>
      <c r="K165" s="425">
        <f t="shared" si="30"/>
        <v>0.0952</v>
      </c>
      <c r="L165" s="425">
        <f t="shared" si="30"/>
        <v>0.0922</v>
      </c>
      <c r="M165" s="425">
        <f t="shared" si="30"/>
        <v>0.0932</v>
      </c>
      <c r="N165" s="425">
        <f t="shared" si="30"/>
        <v>1</v>
      </c>
      <c r="O165" s="408">
        <f t="shared" si="31"/>
        <v>0</v>
      </c>
    </row>
    <row r="166" spans="1:15" s="353" customFormat="1" ht="13.5">
      <c r="A166" s="353" t="s">
        <v>63</v>
      </c>
      <c r="B166" s="425">
        <f t="shared" si="30"/>
        <v>0.0039</v>
      </c>
      <c r="C166" s="425">
        <f t="shared" si="30"/>
        <v>0.0374</v>
      </c>
      <c r="D166" s="425">
        <f t="shared" si="30"/>
        <v>0.0603</v>
      </c>
      <c r="E166" s="425">
        <f t="shared" si="30"/>
        <v>0.0518</v>
      </c>
      <c r="F166" s="425">
        <f t="shared" si="30"/>
        <v>0.0779</v>
      </c>
      <c r="G166" s="425">
        <f t="shared" si="30"/>
        <v>0.0482</v>
      </c>
      <c r="H166" s="425">
        <f t="shared" si="30"/>
        <v>0.0872</v>
      </c>
      <c r="I166" s="425">
        <f t="shared" si="30"/>
        <v>0.0299</v>
      </c>
      <c r="J166" s="425">
        <f t="shared" si="30"/>
        <v>0.082</v>
      </c>
      <c r="K166" s="425">
        <f t="shared" si="30"/>
        <v>0.046</v>
      </c>
      <c r="L166" s="425">
        <f t="shared" si="30"/>
        <v>0.1549</v>
      </c>
      <c r="M166" s="425">
        <f t="shared" si="30"/>
        <v>0.3206</v>
      </c>
      <c r="N166" s="425">
        <f t="shared" si="30"/>
        <v>1</v>
      </c>
      <c r="O166" s="408">
        <f t="shared" si="31"/>
        <v>-9.999999999998899E-05</v>
      </c>
    </row>
    <row r="167" spans="1:15" s="353" customFormat="1" ht="13.5">
      <c r="A167" s="353" t="s">
        <v>64</v>
      </c>
      <c r="B167" s="425">
        <f t="shared" si="30"/>
        <v>0.0067</v>
      </c>
      <c r="C167" s="425">
        <f t="shared" si="30"/>
        <v>0.1146</v>
      </c>
      <c r="D167" s="425">
        <f t="shared" si="30"/>
        <v>0.0627</v>
      </c>
      <c r="E167" s="425">
        <f t="shared" si="30"/>
        <v>0.1051</v>
      </c>
      <c r="F167" s="425">
        <f t="shared" si="30"/>
        <v>0.0722</v>
      </c>
      <c r="G167" s="425">
        <f t="shared" si="30"/>
        <v>0.1013</v>
      </c>
      <c r="H167" s="425">
        <f t="shared" si="30"/>
        <v>0.0566</v>
      </c>
      <c r="I167" s="425">
        <f t="shared" si="30"/>
        <v>0.0628</v>
      </c>
      <c r="J167" s="425">
        <f t="shared" si="30"/>
        <v>0.0918</v>
      </c>
      <c r="K167" s="425">
        <f t="shared" si="30"/>
        <v>0.0842</v>
      </c>
      <c r="L167" s="425">
        <f t="shared" si="30"/>
        <v>0.086</v>
      </c>
      <c r="M167" s="425">
        <f t="shared" si="30"/>
        <v>0.156</v>
      </c>
      <c r="N167" s="425">
        <f t="shared" si="30"/>
        <v>1</v>
      </c>
      <c r="O167" s="408">
        <f t="shared" si="31"/>
        <v>0</v>
      </c>
    </row>
    <row r="168" spans="1:15" s="353" customFormat="1" ht="13.5">
      <c r="A168" s="353" t="s">
        <v>65</v>
      </c>
      <c r="B168" s="425">
        <f t="shared" si="30"/>
        <v>0</v>
      </c>
      <c r="C168" s="425">
        <f t="shared" si="30"/>
        <v>0.0453</v>
      </c>
      <c r="D168" s="425">
        <f t="shared" si="30"/>
        <v>0.0042</v>
      </c>
      <c r="E168" s="425">
        <f t="shared" si="30"/>
        <v>0.445</v>
      </c>
      <c r="F168" s="425">
        <f t="shared" si="30"/>
        <v>0.1011</v>
      </c>
      <c r="G168" s="425">
        <f t="shared" si="30"/>
        <v>0.0645</v>
      </c>
      <c r="H168" s="425">
        <f t="shared" si="30"/>
        <v>0.0505</v>
      </c>
      <c r="I168" s="425">
        <f t="shared" si="30"/>
        <v>0.0022</v>
      </c>
      <c r="J168" s="425">
        <f t="shared" si="30"/>
        <v>0.0876</v>
      </c>
      <c r="K168" s="425">
        <f t="shared" si="30"/>
        <v>0</v>
      </c>
      <c r="L168" s="425">
        <f t="shared" si="30"/>
        <v>0.0331</v>
      </c>
      <c r="M168" s="425">
        <f t="shared" si="30"/>
        <v>0.1666</v>
      </c>
      <c r="N168" s="425">
        <f t="shared" si="30"/>
        <v>1</v>
      </c>
      <c r="O168" s="408">
        <f t="shared" si="31"/>
        <v>-9.999999999998899E-05</v>
      </c>
    </row>
    <row r="169" spans="1:15" s="353" customFormat="1" ht="13.5">
      <c r="A169" s="353" t="s">
        <v>66</v>
      </c>
      <c r="B169" s="425">
        <f t="shared" si="30"/>
        <v>0</v>
      </c>
      <c r="C169" s="425">
        <f t="shared" si="30"/>
        <v>0.1375</v>
      </c>
      <c r="D169" s="425">
        <f t="shared" si="30"/>
        <v>0</v>
      </c>
      <c r="E169" s="425">
        <f t="shared" si="30"/>
        <v>0.0046</v>
      </c>
      <c r="F169" s="425">
        <f t="shared" si="30"/>
        <v>0.0112</v>
      </c>
      <c r="G169" s="425">
        <f t="shared" si="30"/>
        <v>0</v>
      </c>
      <c r="H169" s="425">
        <f t="shared" si="30"/>
        <v>0.0059</v>
      </c>
      <c r="I169" s="425">
        <f t="shared" si="30"/>
        <v>0.046</v>
      </c>
      <c r="J169" s="425">
        <f t="shared" si="30"/>
        <v>0</v>
      </c>
      <c r="K169" s="425">
        <f t="shared" si="30"/>
        <v>0</v>
      </c>
      <c r="L169" s="425">
        <f t="shared" si="30"/>
        <v>0.0002</v>
      </c>
      <c r="M169" s="425">
        <f t="shared" si="30"/>
        <v>0.7946</v>
      </c>
      <c r="N169" s="425">
        <f t="shared" si="30"/>
        <v>1</v>
      </c>
      <c r="O169" s="408">
        <f t="shared" si="31"/>
        <v>0</v>
      </c>
    </row>
    <row r="170" spans="1:15" s="353" customFormat="1" ht="13.5">
      <c r="A170" s="353" t="s">
        <v>67</v>
      </c>
      <c r="B170" s="425">
        <f t="shared" si="30"/>
        <v>0</v>
      </c>
      <c r="C170" s="425">
        <f t="shared" si="30"/>
        <v>0</v>
      </c>
      <c r="D170" s="425">
        <f t="shared" si="30"/>
        <v>0</v>
      </c>
      <c r="E170" s="425">
        <f t="shared" si="30"/>
        <v>0</v>
      </c>
      <c r="F170" s="425">
        <f t="shared" si="30"/>
        <v>0</v>
      </c>
      <c r="G170" s="425">
        <f t="shared" si="30"/>
        <v>0</v>
      </c>
      <c r="H170" s="425">
        <f t="shared" si="30"/>
        <v>0</v>
      </c>
      <c r="I170" s="425">
        <f t="shared" si="30"/>
        <v>0</v>
      </c>
      <c r="J170" s="425">
        <f t="shared" si="30"/>
        <v>0.3592</v>
      </c>
      <c r="K170" s="425">
        <f t="shared" si="30"/>
        <v>0</v>
      </c>
      <c r="L170" s="425">
        <f t="shared" si="30"/>
        <v>0</v>
      </c>
      <c r="M170" s="425">
        <f t="shared" si="30"/>
        <v>0.6408</v>
      </c>
      <c r="N170" s="425">
        <f t="shared" si="30"/>
        <v>1</v>
      </c>
      <c r="O170" s="408">
        <f t="shared" si="31"/>
        <v>0</v>
      </c>
    </row>
    <row r="171" spans="1:15" s="353" customFormat="1" ht="13.5">
      <c r="A171" s="353" t="s">
        <v>68</v>
      </c>
      <c r="B171" s="425">
        <f t="shared" si="30"/>
        <v>0</v>
      </c>
      <c r="C171" s="425">
        <f t="shared" si="30"/>
        <v>0</v>
      </c>
      <c r="D171" s="425">
        <f t="shared" si="30"/>
        <v>0</v>
      </c>
      <c r="E171" s="425">
        <f t="shared" si="30"/>
        <v>0</v>
      </c>
      <c r="F171" s="425">
        <f t="shared" si="30"/>
        <v>0</v>
      </c>
      <c r="G171" s="425">
        <f t="shared" si="30"/>
        <v>0</v>
      </c>
      <c r="H171" s="425">
        <f t="shared" si="30"/>
        <v>0</v>
      </c>
      <c r="I171" s="425">
        <f t="shared" si="30"/>
        <v>0</v>
      </c>
      <c r="J171" s="425">
        <f t="shared" si="30"/>
        <v>0</v>
      </c>
      <c r="K171" s="425">
        <f t="shared" si="30"/>
        <v>0</v>
      </c>
      <c r="L171" s="425">
        <f t="shared" si="30"/>
        <v>0</v>
      </c>
      <c r="M171" s="425">
        <f t="shared" si="30"/>
        <v>0</v>
      </c>
      <c r="N171" s="425">
        <f t="shared" si="30"/>
        <v>0</v>
      </c>
      <c r="O171" s="408">
        <f t="shared" si="31"/>
        <v>0</v>
      </c>
    </row>
    <row r="172" spans="1:15" s="353" customFormat="1" ht="13.5">
      <c r="A172" s="353" t="s">
        <v>8</v>
      </c>
      <c r="B172" s="425">
        <f t="shared" si="30"/>
        <v>0</v>
      </c>
      <c r="C172" s="425">
        <f t="shared" si="30"/>
        <v>0</v>
      </c>
      <c r="D172" s="425">
        <f t="shared" si="30"/>
        <v>0</v>
      </c>
      <c r="E172" s="425">
        <f t="shared" si="30"/>
        <v>0</v>
      </c>
      <c r="F172" s="425">
        <f t="shared" si="30"/>
        <v>0</v>
      </c>
      <c r="G172" s="425">
        <f t="shared" si="30"/>
        <v>0</v>
      </c>
      <c r="H172" s="425">
        <f t="shared" si="30"/>
        <v>0</v>
      </c>
      <c r="I172" s="425">
        <f t="shared" si="30"/>
        <v>0</v>
      </c>
      <c r="J172" s="425">
        <f t="shared" si="30"/>
        <v>0</v>
      </c>
      <c r="K172" s="425">
        <f t="shared" si="30"/>
        <v>0</v>
      </c>
      <c r="L172" s="425">
        <f t="shared" si="30"/>
        <v>0</v>
      </c>
      <c r="M172" s="425">
        <f t="shared" si="30"/>
        <v>0</v>
      </c>
      <c r="N172" s="425">
        <f t="shared" si="30"/>
        <v>0</v>
      </c>
      <c r="O172" s="408">
        <f t="shared" si="31"/>
        <v>0</v>
      </c>
    </row>
    <row r="173" spans="1:15" s="353" customFormat="1" ht="13.5">
      <c r="A173" s="352" t="s">
        <v>153</v>
      </c>
      <c r="B173" s="425">
        <f t="shared" si="30"/>
        <v>0.0186</v>
      </c>
      <c r="C173" s="425">
        <f t="shared" si="30"/>
        <v>0.0411</v>
      </c>
      <c r="D173" s="425">
        <f t="shared" si="30"/>
        <v>0.0823</v>
      </c>
      <c r="E173" s="425">
        <f t="shared" si="30"/>
        <v>0.0933</v>
      </c>
      <c r="F173" s="425">
        <f t="shared" si="30"/>
        <v>0.0863</v>
      </c>
      <c r="G173" s="425">
        <f t="shared" si="30"/>
        <v>0.087</v>
      </c>
      <c r="H173" s="425">
        <f t="shared" si="30"/>
        <v>0.085</v>
      </c>
      <c r="I173" s="425">
        <f t="shared" si="30"/>
        <v>0.0843</v>
      </c>
      <c r="J173" s="425">
        <f t="shared" si="30"/>
        <v>0.0911</v>
      </c>
      <c r="K173" s="425">
        <f t="shared" si="30"/>
        <v>0.0879</v>
      </c>
      <c r="L173" s="425">
        <f t="shared" si="30"/>
        <v>0.0906</v>
      </c>
      <c r="M173" s="425">
        <f t="shared" si="30"/>
        <v>0.1526</v>
      </c>
      <c r="N173" s="425">
        <f t="shared" si="30"/>
        <v>1</v>
      </c>
      <c r="O173" s="408">
        <f t="shared" si="31"/>
        <v>-9.999999999998899E-05</v>
      </c>
    </row>
    <row r="174" spans="2:15" s="316" customFormat="1" ht="13.5">
      <c r="B174" s="374"/>
      <c r="C174" s="374"/>
      <c r="D174" s="374"/>
      <c r="E174" s="374"/>
      <c r="F174" s="374"/>
      <c r="G174" s="374"/>
      <c r="H174" s="374"/>
      <c r="I174" s="374"/>
      <c r="J174" s="374"/>
      <c r="K174" s="374"/>
      <c r="L174" s="374"/>
      <c r="M174" s="374"/>
      <c r="N174" s="374"/>
      <c r="O174" s="354"/>
    </row>
    <row r="175" spans="2:15" s="316" customFormat="1" ht="13.5">
      <c r="B175" s="426"/>
      <c r="C175" s="426"/>
      <c r="D175" s="426"/>
      <c r="E175" s="426"/>
      <c r="F175" s="426"/>
      <c r="G175" s="426"/>
      <c r="H175" s="426"/>
      <c r="I175" s="426"/>
      <c r="J175" s="426"/>
      <c r="K175" s="426"/>
      <c r="L175" s="426"/>
      <c r="M175" s="426"/>
      <c r="N175" s="426"/>
      <c r="O175" s="354"/>
    </row>
  </sheetData>
  <printOptions/>
  <pageMargins left="0.25" right="0.25" top="0.25" bottom="0.25" header="0.5" footer="0.5"/>
  <pageSetup fitToHeight="1" fitToWidth="1" orientation="landscape" scale="22"/>
</worksheet>
</file>

<file path=xl/worksheets/sheet4.xml><?xml version="1.0" encoding="utf-8"?>
<worksheet xmlns="http://schemas.openxmlformats.org/spreadsheetml/2006/main" xmlns:r="http://schemas.openxmlformats.org/officeDocument/2006/relationships">
  <sheetPr>
    <pageSetUpPr fitToPage="1"/>
  </sheetPr>
  <dimension ref="A1:IM144"/>
  <sheetViews>
    <sheetView zoomScale="90" zoomScaleNormal="90" workbookViewId="0" topLeftCell="A1">
      <selection activeCell="N10" sqref="N10"/>
    </sheetView>
  </sheetViews>
  <sheetFormatPr defaultColWidth="14.77734375" defaultRowHeight="15"/>
  <cols>
    <col min="1" max="1" width="3.6640625" style="4" customWidth="1"/>
    <col min="2" max="2" width="3.77734375" style="4" customWidth="1"/>
    <col min="3" max="3" width="2.77734375" style="4" customWidth="1"/>
    <col min="4" max="4" width="17.10546875" style="4" customWidth="1"/>
    <col min="5" max="5" width="4.4453125" style="4" customWidth="1"/>
    <col min="6" max="6" width="12.77734375" style="4" customWidth="1"/>
    <col min="7" max="7" width="2.77734375" style="4" customWidth="1"/>
    <col min="8" max="8" width="13.4453125" style="4" customWidth="1"/>
    <col min="9" max="9" width="2.77734375" style="4" customWidth="1"/>
    <col min="10" max="10" width="13.77734375" style="4" customWidth="1"/>
    <col min="11" max="11" width="2.77734375" style="4" customWidth="1"/>
    <col min="12" max="12" width="13.77734375" style="4" customWidth="1"/>
    <col min="13" max="13" width="2.77734375" style="4" customWidth="1"/>
    <col min="14" max="14" width="17.99609375" style="4" customWidth="1"/>
    <col min="15" max="15" width="2.77734375" style="4" customWidth="1"/>
    <col min="16" max="16" width="14.99609375" style="4" customWidth="1"/>
    <col min="17" max="17" width="2.77734375" style="4" customWidth="1"/>
    <col min="18" max="18" width="14.99609375" style="4" customWidth="1"/>
    <col min="19" max="19" width="3.77734375" style="4" customWidth="1"/>
    <col min="20" max="21" width="12.77734375" style="4" hidden="1" customWidth="1"/>
    <col min="22" max="22" width="8.4453125" style="4" hidden="1" customWidth="1"/>
    <col min="23" max="23" width="3.77734375" style="4" hidden="1" customWidth="1"/>
    <col min="24" max="24" width="12.77734375" style="4" hidden="1" customWidth="1"/>
    <col min="25" max="25" width="2.77734375" style="4" customWidth="1"/>
    <col min="26" max="26" width="12.77734375" style="4" customWidth="1"/>
    <col min="27" max="27" width="2.77734375" style="4" customWidth="1"/>
    <col min="28" max="28" width="12.77734375" style="4" customWidth="1"/>
    <col min="29" max="29" width="2.77734375" style="4" customWidth="1"/>
    <col min="30" max="30" width="12.77734375" style="4" customWidth="1"/>
    <col min="31" max="31" width="2.77734375" style="4" customWidth="1"/>
    <col min="32" max="32" width="12.77734375" style="4" customWidth="1"/>
    <col min="33" max="33" width="2.77734375" style="4" customWidth="1"/>
    <col min="34" max="34" width="14.77734375" style="4" customWidth="1"/>
    <col min="35" max="35" width="2.77734375" style="4" customWidth="1"/>
    <col min="36" max="36" width="14.77734375" style="4" customWidth="1"/>
    <col min="37" max="37" width="2.77734375" style="4" customWidth="1"/>
    <col min="38" max="16384" width="14.77734375" style="4" customWidth="1"/>
  </cols>
  <sheetData>
    <row r="1" spans="1:19" ht="23.25" customHeight="1">
      <c r="A1" s="3" t="s">
        <v>372</v>
      </c>
      <c r="B1" s="3"/>
      <c r="C1" s="3"/>
      <c r="D1" s="3"/>
      <c r="E1" s="3"/>
      <c r="F1" s="3"/>
      <c r="G1" s="3"/>
      <c r="H1" s="3"/>
      <c r="I1" s="3"/>
      <c r="J1" s="3"/>
      <c r="K1" s="3"/>
      <c r="L1" s="3"/>
      <c r="M1" s="3"/>
      <c r="N1" s="3"/>
      <c r="O1" s="3"/>
      <c r="P1" s="3"/>
      <c r="Q1" s="3"/>
      <c r="R1" s="3"/>
      <c r="S1" s="3"/>
    </row>
    <row r="2" spans="1:19" ht="23.25" customHeight="1">
      <c r="A2" s="3" t="s">
        <v>405</v>
      </c>
      <c r="B2" s="3"/>
      <c r="C2" s="3"/>
      <c r="D2" s="3"/>
      <c r="E2" s="3"/>
      <c r="F2" s="3"/>
      <c r="G2" s="3"/>
      <c r="H2" s="3"/>
      <c r="I2" s="3"/>
      <c r="J2" s="3"/>
      <c r="K2" s="3"/>
      <c r="L2" s="3"/>
      <c r="M2" s="3"/>
      <c r="N2" s="3"/>
      <c r="O2" s="3"/>
      <c r="P2" s="3"/>
      <c r="Q2" s="3"/>
      <c r="R2" s="3"/>
      <c r="S2" s="3"/>
    </row>
    <row r="3" spans="1:247" ht="24" customHeight="1">
      <c r="A3" s="3" t="s">
        <v>357</v>
      </c>
      <c r="B3" s="3"/>
      <c r="C3" s="3"/>
      <c r="D3" s="3"/>
      <c r="E3" s="3"/>
      <c r="F3" s="3"/>
      <c r="G3" s="3"/>
      <c r="H3" s="3"/>
      <c r="I3" s="3"/>
      <c r="J3" s="3"/>
      <c r="K3" s="3"/>
      <c r="L3" s="3"/>
      <c r="M3" s="3"/>
      <c r="N3" s="3"/>
      <c r="O3" s="3"/>
      <c r="P3" s="3"/>
      <c r="Q3" s="3"/>
      <c r="R3" s="3"/>
      <c r="S3" s="3"/>
      <c r="T3" s="5"/>
      <c r="U3" s="5"/>
      <c r="V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row>
    <row r="4" spans="2:16" ht="24.75" customHeight="1">
      <c r="B4" s="6" t="s">
        <v>263</v>
      </c>
      <c r="C4" s="6"/>
      <c r="D4" s="6"/>
      <c r="E4" s="452" t="str">
        <f>'Summary Tab'!A1</f>
        <v>"Master Template" School District</v>
      </c>
      <c r="F4" s="453"/>
      <c r="G4" s="453"/>
      <c r="H4" s="453"/>
      <c r="I4" s="453"/>
      <c r="J4" s="453"/>
      <c r="K4" s="453"/>
      <c r="L4" s="453"/>
      <c r="M4" s="453"/>
      <c r="N4" s="453"/>
      <c r="O4" s="453"/>
      <c r="P4" s="453"/>
    </row>
    <row r="5" spans="5:16" ht="13.5" customHeight="1">
      <c r="E5" s="7"/>
      <c r="F5" s="7"/>
      <c r="G5" s="7"/>
      <c r="H5" s="7"/>
      <c r="I5" s="7"/>
      <c r="J5" s="7"/>
      <c r="K5" s="7"/>
      <c r="L5" s="7"/>
      <c r="M5" s="7"/>
      <c r="N5" s="7"/>
      <c r="O5" s="7"/>
      <c r="P5" s="7"/>
    </row>
    <row r="6" spans="1:247" ht="27" customHeight="1">
      <c r="A6" s="8" t="s">
        <v>227</v>
      </c>
      <c r="B6" s="9"/>
      <c r="C6" s="9"/>
      <c r="D6" s="9"/>
      <c r="E6" s="9"/>
      <c r="F6" s="9"/>
      <c r="G6" s="9"/>
      <c r="H6" s="9"/>
      <c r="I6" s="9"/>
      <c r="J6" s="9"/>
      <c r="K6" s="9"/>
      <c r="L6" s="9"/>
      <c r="M6" s="9"/>
      <c r="N6" s="9"/>
      <c r="O6" s="9"/>
      <c r="P6" s="9"/>
      <c r="Q6" s="9"/>
      <c r="R6" s="9"/>
      <c r="S6" s="10"/>
      <c r="T6" s="11"/>
      <c r="U6" s="11"/>
      <c r="V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row>
    <row r="7" spans="1:19" ht="9" customHeight="1">
      <c r="A7" s="12"/>
      <c r="B7" s="13"/>
      <c r="S7" s="14"/>
    </row>
    <row r="8" spans="1:19" ht="15" customHeight="1">
      <c r="A8" s="12"/>
      <c r="C8" s="15" t="s">
        <v>420</v>
      </c>
      <c r="D8" s="16"/>
      <c r="E8" s="16"/>
      <c r="F8" s="16"/>
      <c r="J8" s="17"/>
      <c r="L8" s="18"/>
      <c r="M8" s="17"/>
      <c r="N8" s="7"/>
      <c r="O8" s="7"/>
      <c r="P8" s="7"/>
      <c r="Q8" s="7"/>
      <c r="S8" s="14"/>
    </row>
    <row r="9" spans="1:19" ht="15" customHeight="1">
      <c r="A9" s="12"/>
      <c r="C9" s="15" t="s">
        <v>286</v>
      </c>
      <c r="D9" s="16"/>
      <c r="J9" s="17"/>
      <c r="K9" s="19"/>
      <c r="O9" s="20"/>
      <c r="Q9" s="21"/>
      <c r="R9" s="7"/>
      <c r="S9" s="14"/>
    </row>
    <row r="10" spans="1:19" ht="15" customHeight="1">
      <c r="A10" s="22">
        <v>1</v>
      </c>
      <c r="C10" s="23" t="s">
        <v>377</v>
      </c>
      <c r="D10" s="16"/>
      <c r="J10" s="17"/>
      <c r="K10" s="19"/>
      <c r="M10" s="24" t="s">
        <v>314</v>
      </c>
      <c r="N10" s="25" t="s">
        <v>103</v>
      </c>
      <c r="O10" s="20"/>
      <c r="P10" s="21">
        <f>IF(N10="Yes","Large Issuer",IF(N10="No","Small Issuer",""))</f>
      </c>
      <c r="Q10" s="21"/>
      <c r="R10" s="7"/>
      <c r="S10" s="14"/>
    </row>
    <row r="11" spans="1:19" ht="15" customHeight="1">
      <c r="A11" s="22"/>
      <c r="C11" s="16" t="s">
        <v>378</v>
      </c>
      <c r="D11" s="16"/>
      <c r="J11" s="17"/>
      <c r="K11" s="19"/>
      <c r="M11" s="26"/>
      <c r="N11" s="27"/>
      <c r="O11" s="20"/>
      <c r="P11" s="21"/>
      <c r="Q11" s="21"/>
      <c r="R11" s="7"/>
      <c r="S11" s="14"/>
    </row>
    <row r="12" spans="1:19" ht="9" customHeight="1" thickBot="1">
      <c r="A12" s="22"/>
      <c r="B12" s="28"/>
      <c r="C12" s="28"/>
      <c r="D12" s="28"/>
      <c r="E12" s="28"/>
      <c r="F12" s="28"/>
      <c r="G12" s="28"/>
      <c r="H12" s="28"/>
      <c r="I12" s="28"/>
      <c r="J12" s="28"/>
      <c r="K12" s="28"/>
      <c r="L12" s="28"/>
      <c r="M12" s="28"/>
      <c r="N12" s="28"/>
      <c r="O12" s="28"/>
      <c r="P12" s="28"/>
      <c r="Q12" s="28"/>
      <c r="R12" s="28"/>
      <c r="S12" s="29"/>
    </row>
    <row r="13" spans="1:19" ht="24.75" customHeight="1" thickBot="1">
      <c r="A13" s="30" t="s">
        <v>189</v>
      </c>
      <c r="B13" s="9"/>
      <c r="C13" s="9"/>
      <c r="D13" s="9"/>
      <c r="E13" s="9"/>
      <c r="F13" s="9"/>
      <c r="G13" s="9"/>
      <c r="H13" s="9"/>
      <c r="I13" s="9"/>
      <c r="J13" s="9"/>
      <c r="K13" s="9"/>
      <c r="L13" s="9"/>
      <c r="M13" s="9"/>
      <c r="N13" s="9"/>
      <c r="O13" s="9"/>
      <c r="P13" s="9"/>
      <c r="Q13" s="9"/>
      <c r="R13" s="9"/>
      <c r="S13" s="10"/>
    </row>
    <row r="14" spans="1:19" ht="9" customHeight="1">
      <c r="A14" s="22"/>
      <c r="S14" s="14"/>
    </row>
    <row r="15" spans="1:19" ht="16.5" customHeight="1">
      <c r="A15" s="22"/>
      <c r="B15" s="31"/>
      <c r="C15" s="31" t="s">
        <v>109</v>
      </c>
      <c r="D15" s="31"/>
      <c r="E15" s="31"/>
      <c r="F15" s="31"/>
      <c r="G15" s="31"/>
      <c r="H15" s="31"/>
      <c r="S15" s="14"/>
    </row>
    <row r="16" spans="1:19" ht="9" customHeight="1" thickBot="1">
      <c r="A16" s="22"/>
      <c r="S16" s="14"/>
    </row>
    <row r="17" spans="1:24" ht="16.5" customHeight="1" thickBot="1" thickTop="1">
      <c r="A17" s="22">
        <v>2</v>
      </c>
      <c r="C17" s="16"/>
      <c r="D17" s="15" t="s">
        <v>251</v>
      </c>
      <c r="E17" s="16"/>
      <c r="F17" s="16"/>
      <c r="G17" s="16"/>
      <c r="H17" s="16"/>
      <c r="I17" s="16"/>
      <c r="J17" s="16"/>
      <c r="K17" s="32" t="s">
        <v>353</v>
      </c>
      <c r="L17" s="33">
        <v>0.0075</v>
      </c>
      <c r="S17" s="14"/>
      <c r="X17" s="4" t="s">
        <v>358</v>
      </c>
    </row>
    <row r="18" spans="1:24" ht="12.75">
      <c r="A18" s="22"/>
      <c r="D18" s="34" t="s">
        <v>379</v>
      </c>
      <c r="E18" s="16"/>
      <c r="F18" s="16"/>
      <c r="G18" s="16"/>
      <c r="H18" s="16"/>
      <c r="L18" s="35"/>
      <c r="S18" s="14"/>
      <c r="X18" s="4" t="s">
        <v>359</v>
      </c>
    </row>
    <row r="19" spans="1:24" ht="12.75">
      <c r="A19" s="22"/>
      <c r="D19" s="34" t="s">
        <v>380</v>
      </c>
      <c r="E19" s="16"/>
      <c r="F19" s="16"/>
      <c r="G19" s="16"/>
      <c r="H19" s="16"/>
      <c r="S19" s="14"/>
      <c r="X19" s="4" t="s">
        <v>134</v>
      </c>
    </row>
    <row r="20" spans="1:19" ht="13.5" thickBot="1">
      <c r="A20" s="22"/>
      <c r="D20" s="16"/>
      <c r="E20" s="16"/>
      <c r="F20" s="16"/>
      <c r="G20" s="16"/>
      <c r="H20" s="16"/>
      <c r="J20" s="36"/>
      <c r="S20" s="14"/>
    </row>
    <row r="21" spans="1:19" ht="15" thickBot="1" thickTop="1">
      <c r="A21" s="22">
        <v>3</v>
      </c>
      <c r="B21" s="31"/>
      <c r="C21" s="31" t="s">
        <v>203</v>
      </c>
      <c r="D21" s="31"/>
      <c r="E21" s="31"/>
      <c r="F21" s="31"/>
      <c r="K21" s="32" t="s">
        <v>353</v>
      </c>
      <c r="L21" s="333" t="s">
        <v>367</v>
      </c>
      <c r="O21" s="37"/>
      <c r="S21" s="14"/>
    </row>
    <row r="22" spans="1:19" ht="15" thickBot="1" thickTop="1">
      <c r="A22" s="22"/>
      <c r="B22" s="31"/>
      <c r="C22" s="31"/>
      <c r="K22" s="32"/>
      <c r="L22" s="38"/>
      <c r="O22" s="39"/>
      <c r="S22" s="14"/>
    </row>
    <row r="23" spans="1:19" ht="15" thickBot="1" thickTop="1">
      <c r="A23" s="22">
        <v>4</v>
      </c>
      <c r="B23" s="40"/>
      <c r="C23" s="31" t="s">
        <v>252</v>
      </c>
      <c r="D23" s="31"/>
      <c r="E23" s="31"/>
      <c r="F23" s="31"/>
      <c r="G23" s="31"/>
      <c r="H23" s="31"/>
      <c r="K23" s="32" t="s">
        <v>353</v>
      </c>
      <c r="L23" s="334" t="str">
        <f>L21</f>
        <v>n/a</v>
      </c>
      <c r="N23" s="298" t="s">
        <v>145</v>
      </c>
      <c r="O23" s="37"/>
      <c r="S23" s="14"/>
    </row>
    <row r="24" spans="1:19" ht="15" thickBot="1" thickTop="1">
      <c r="A24" s="41"/>
      <c r="B24" s="28"/>
      <c r="C24" s="28"/>
      <c r="D24" s="28"/>
      <c r="E24" s="28"/>
      <c r="F24" s="28"/>
      <c r="G24" s="28"/>
      <c r="H24" s="28"/>
      <c r="I24" s="28"/>
      <c r="J24" s="28"/>
      <c r="K24" s="28"/>
      <c r="L24" s="28"/>
      <c r="M24" s="28"/>
      <c r="N24" s="28"/>
      <c r="O24" s="28"/>
      <c r="P24" s="28"/>
      <c r="Q24" s="28"/>
      <c r="R24" s="28"/>
      <c r="S24" s="29"/>
    </row>
    <row r="25" spans="1:22" ht="18.75" hidden="1">
      <c r="A25" s="30" t="s">
        <v>135</v>
      </c>
      <c r="B25" s="42"/>
      <c r="C25" s="42"/>
      <c r="D25" s="42"/>
      <c r="E25" s="42"/>
      <c r="F25" s="42"/>
      <c r="G25" s="42"/>
      <c r="H25" s="42"/>
      <c r="I25" s="42"/>
      <c r="J25" s="42"/>
      <c r="K25" s="42"/>
      <c r="L25" s="42"/>
      <c r="M25" s="42"/>
      <c r="N25" s="42"/>
      <c r="O25" s="42"/>
      <c r="P25" s="42"/>
      <c r="Q25" s="42"/>
      <c r="R25" s="42"/>
      <c r="S25" s="43"/>
      <c r="V25" s="44"/>
    </row>
    <row r="26" spans="1:22" ht="12.75" hidden="1">
      <c r="A26" s="45" t="s">
        <v>232</v>
      </c>
      <c r="B26" s="46"/>
      <c r="C26" s="46"/>
      <c r="D26" s="46"/>
      <c r="E26" s="46"/>
      <c r="F26" s="46"/>
      <c r="G26" s="46"/>
      <c r="H26" s="46"/>
      <c r="I26" s="46"/>
      <c r="J26" s="46"/>
      <c r="K26" s="46"/>
      <c r="L26" s="46"/>
      <c r="M26" s="7"/>
      <c r="N26" s="7"/>
      <c r="O26" s="7"/>
      <c r="P26" s="7"/>
      <c r="Q26" s="7"/>
      <c r="R26" s="7"/>
      <c r="S26" s="47"/>
      <c r="V26" s="44"/>
    </row>
    <row r="27" spans="1:22" ht="12.75" hidden="1">
      <c r="A27" s="48"/>
      <c r="B27" s="46"/>
      <c r="C27" s="46"/>
      <c r="D27" s="46"/>
      <c r="E27" s="46"/>
      <c r="F27" s="46"/>
      <c r="G27" s="46"/>
      <c r="H27" s="46"/>
      <c r="I27" s="46"/>
      <c r="J27" s="46"/>
      <c r="K27" s="46"/>
      <c r="L27" s="46"/>
      <c r="M27" s="7"/>
      <c r="N27" s="7"/>
      <c r="O27" s="7"/>
      <c r="P27" s="7"/>
      <c r="Q27" s="7"/>
      <c r="R27" s="7"/>
      <c r="S27" s="47"/>
      <c r="V27" s="44"/>
    </row>
    <row r="28" spans="1:24" ht="12.75" hidden="1">
      <c r="A28" s="22">
        <v>6</v>
      </c>
      <c r="B28" s="4" t="s">
        <v>272</v>
      </c>
      <c r="C28" s="49"/>
      <c r="D28" s="46"/>
      <c r="E28" s="46"/>
      <c r="F28" s="46"/>
      <c r="G28" s="46"/>
      <c r="H28" s="50" t="s">
        <v>292</v>
      </c>
      <c r="I28" s="46"/>
      <c r="J28" s="46"/>
      <c r="K28" s="46"/>
      <c r="L28" s="46"/>
      <c r="M28" s="7"/>
      <c r="O28" s="7"/>
      <c r="P28" s="51"/>
      <c r="Q28" s="7"/>
      <c r="R28" s="7"/>
      <c r="S28" s="47"/>
      <c r="V28" s="44"/>
      <c r="X28" s="4" t="s">
        <v>105</v>
      </c>
    </row>
    <row r="29" spans="1:24" ht="12.75" hidden="1">
      <c r="A29" s="22"/>
      <c r="B29" s="46"/>
      <c r="C29" s="46"/>
      <c r="D29" s="46"/>
      <c r="E29" s="46"/>
      <c r="F29" s="46"/>
      <c r="G29" s="46"/>
      <c r="H29" s="46"/>
      <c r="I29" s="46"/>
      <c r="J29" s="46"/>
      <c r="K29" s="46"/>
      <c r="L29" s="46"/>
      <c r="M29" s="7"/>
      <c r="O29" s="7"/>
      <c r="P29" s="7"/>
      <c r="Q29" s="7"/>
      <c r="R29" s="7"/>
      <c r="S29" s="47"/>
      <c r="V29" s="44"/>
      <c r="X29" s="4" t="s">
        <v>106</v>
      </c>
    </row>
    <row r="30" spans="1:24" ht="12.75" hidden="1">
      <c r="A30" s="22">
        <v>7</v>
      </c>
      <c r="B30" s="52" t="s">
        <v>132</v>
      </c>
      <c r="C30" s="46"/>
      <c r="D30" s="46"/>
      <c r="E30" s="46"/>
      <c r="F30" s="46"/>
      <c r="G30" s="46"/>
      <c r="I30" s="46"/>
      <c r="J30" s="308">
        <f>'Sizing Worksheet'!L27+'Sizing Worksheet'!P11</f>
        <v>-660325.8599999996</v>
      </c>
      <c r="K30" s="46"/>
      <c r="M30" s="46"/>
      <c r="O30" s="46"/>
      <c r="P30" s="53"/>
      <c r="Q30" s="7"/>
      <c r="R30" s="7"/>
      <c r="S30" s="47"/>
      <c r="V30" s="44"/>
      <c r="X30" s="4" t="s">
        <v>77</v>
      </c>
    </row>
    <row r="31" spans="1:22" ht="12.75" hidden="1">
      <c r="A31" s="22"/>
      <c r="B31" s="52"/>
      <c r="C31" s="46"/>
      <c r="D31" s="46"/>
      <c r="E31" s="46"/>
      <c r="F31" s="46"/>
      <c r="G31" s="46"/>
      <c r="I31" s="46"/>
      <c r="J31" s="54"/>
      <c r="K31" s="46"/>
      <c r="M31" s="46"/>
      <c r="O31" s="46"/>
      <c r="P31" s="53"/>
      <c r="Q31" s="7"/>
      <c r="R31" s="7"/>
      <c r="S31" s="47"/>
      <c r="V31" s="44"/>
    </row>
    <row r="32" spans="1:22" ht="12.75" hidden="1">
      <c r="A32" s="22">
        <v>8</v>
      </c>
      <c r="B32" s="15" t="s">
        <v>248</v>
      </c>
      <c r="C32" s="46"/>
      <c r="D32" s="46"/>
      <c r="E32" s="46"/>
      <c r="F32" s="46"/>
      <c r="G32" s="46"/>
      <c r="H32" s="46"/>
      <c r="I32" s="46"/>
      <c r="J32" s="55"/>
      <c r="K32" s="46"/>
      <c r="L32" s="46"/>
      <c r="M32" s="7"/>
      <c r="N32" s="7"/>
      <c r="O32" s="7"/>
      <c r="P32" s="7"/>
      <c r="Q32" s="7"/>
      <c r="R32" s="7"/>
      <c r="S32" s="47"/>
      <c r="V32" s="44"/>
    </row>
    <row r="33" spans="1:22" ht="12.75" hidden="1">
      <c r="A33" s="22"/>
      <c r="B33" s="46"/>
      <c r="C33" s="46"/>
      <c r="D33" s="46"/>
      <c r="E33" s="46"/>
      <c r="F33" s="46"/>
      <c r="G33" s="46"/>
      <c r="H33" s="46"/>
      <c r="I33" s="46"/>
      <c r="J33" s="46"/>
      <c r="K33" s="46"/>
      <c r="L33" s="46"/>
      <c r="M33" s="7"/>
      <c r="N33" s="7"/>
      <c r="O33" s="7"/>
      <c r="P33" s="7"/>
      <c r="Q33" s="7"/>
      <c r="R33" s="7"/>
      <c r="S33" s="47"/>
      <c r="V33" s="44"/>
    </row>
    <row r="34" spans="1:22" ht="12.75" hidden="1">
      <c r="A34" s="22">
        <v>9</v>
      </c>
      <c r="B34" s="46" t="s">
        <v>115</v>
      </c>
      <c r="C34" s="46"/>
      <c r="D34" s="46"/>
      <c r="E34" s="46"/>
      <c r="F34" s="46"/>
      <c r="G34" s="46"/>
      <c r="H34" s="52"/>
      <c r="I34" s="46"/>
      <c r="J34" s="56" t="str">
        <f>IF(J30&gt;J32,"No","Yes")</f>
        <v>Yes</v>
      </c>
      <c r="K34" s="46"/>
      <c r="L34" s="46"/>
      <c r="M34" s="7"/>
      <c r="N34" s="7"/>
      <c r="O34" s="7"/>
      <c r="P34" s="7"/>
      <c r="Q34" s="7"/>
      <c r="R34" s="7"/>
      <c r="S34" s="47"/>
      <c r="V34" s="44"/>
    </row>
    <row r="35" spans="1:22" ht="12.75" hidden="1">
      <c r="A35" s="22"/>
      <c r="B35" s="46"/>
      <c r="C35" s="46"/>
      <c r="D35" s="46"/>
      <c r="E35" s="46"/>
      <c r="F35" s="46"/>
      <c r="G35" s="46"/>
      <c r="H35" s="46"/>
      <c r="I35" s="46"/>
      <c r="J35" s="46"/>
      <c r="K35" s="46"/>
      <c r="L35" s="46"/>
      <c r="M35" s="7"/>
      <c r="N35" s="7"/>
      <c r="O35" s="7"/>
      <c r="P35" s="7"/>
      <c r="Q35" s="7"/>
      <c r="R35" s="7"/>
      <c r="S35" s="47"/>
      <c r="V35" s="44"/>
    </row>
    <row r="36" spans="1:22" ht="12.75" hidden="1">
      <c r="A36" s="22"/>
      <c r="B36" s="57" t="str">
        <f>IF(H28="Small","You are not required to answer the remaining deficit questions",IF(AND(H28="Large",J34="No"),"You did not meet your deficit for 2010-11.  Please complete the remaining deficit questions.",IF(AND(H28="Large",J34="Yes"),"You met your deficit for 2010-11.  You are not required to answer the remaining deficit questions."," ")))</f>
        <v> </v>
      </c>
      <c r="C36" s="46"/>
      <c r="D36" s="46"/>
      <c r="E36" s="46"/>
      <c r="F36" s="58"/>
      <c r="G36" s="46"/>
      <c r="H36" s="7"/>
      <c r="I36" s="46"/>
      <c r="J36" s="59"/>
      <c r="K36" s="46"/>
      <c r="L36" s="46"/>
      <c r="M36" s="7"/>
      <c r="N36" s="7"/>
      <c r="O36" s="7"/>
      <c r="P36" s="7"/>
      <c r="Q36" s="7"/>
      <c r="R36" s="7"/>
      <c r="S36" s="47"/>
      <c r="V36" s="44"/>
    </row>
    <row r="37" spans="1:22" ht="12.75" hidden="1">
      <c r="A37" s="22"/>
      <c r="B37" s="46"/>
      <c r="C37" s="46"/>
      <c r="D37" s="46"/>
      <c r="E37" s="46"/>
      <c r="F37" s="58"/>
      <c r="G37" s="46"/>
      <c r="H37" s="7"/>
      <c r="I37" s="46"/>
      <c r="J37" s="59"/>
      <c r="K37" s="46"/>
      <c r="L37" s="46"/>
      <c r="M37" s="7"/>
      <c r="S37" s="47"/>
      <c r="V37" s="44"/>
    </row>
    <row r="38" spans="1:22" ht="21" customHeight="1" hidden="1">
      <c r="A38" s="22"/>
      <c r="C38" s="60" t="s">
        <v>321</v>
      </c>
      <c r="D38" s="46"/>
      <c r="E38" s="46"/>
      <c r="F38" s="58"/>
      <c r="G38" s="46"/>
      <c r="H38" s="7"/>
      <c r="I38" s="46"/>
      <c r="J38" s="59"/>
      <c r="K38" s="46"/>
      <c r="L38" s="46"/>
      <c r="M38" s="7"/>
      <c r="N38" s="61" t="str">
        <f>IF(OR($J$34="Yes",L42&lt;0),"No explanation is necessary.","")</f>
        <v>No explanation is necessary.</v>
      </c>
      <c r="O38" s="7"/>
      <c r="P38" s="7"/>
      <c r="S38" s="47"/>
      <c r="T38" s="4" t="b">
        <v>0</v>
      </c>
      <c r="V38" s="44"/>
    </row>
    <row r="39" spans="1:22" ht="12.75" hidden="1">
      <c r="A39" s="22"/>
      <c r="C39" s="60"/>
      <c r="D39" s="46"/>
      <c r="E39" s="46"/>
      <c r="F39" s="58"/>
      <c r="G39" s="46"/>
      <c r="H39" s="7"/>
      <c r="I39" s="46"/>
      <c r="J39" s="59"/>
      <c r="K39" s="46"/>
      <c r="L39" s="46"/>
      <c r="M39" s="7"/>
      <c r="N39" s="62"/>
      <c r="O39" s="7"/>
      <c r="P39" s="7"/>
      <c r="S39" s="47"/>
      <c r="V39" s="44"/>
    </row>
    <row r="40" spans="1:22" ht="12.75" hidden="1">
      <c r="A40" s="22">
        <v>10</v>
      </c>
      <c r="C40" s="52" t="s">
        <v>136</v>
      </c>
      <c r="D40" s="46"/>
      <c r="E40" s="46"/>
      <c r="F40" s="58"/>
      <c r="G40" s="46"/>
      <c r="H40" s="7"/>
      <c r="I40" s="46"/>
      <c r="J40" s="59"/>
      <c r="K40" s="46"/>
      <c r="L40" s="55"/>
      <c r="M40" s="7"/>
      <c r="N40" s="454"/>
      <c r="O40" s="455"/>
      <c r="P40" s="455"/>
      <c r="Q40" s="455"/>
      <c r="R40" s="456"/>
      <c r="S40" s="47"/>
      <c r="V40" s="44"/>
    </row>
    <row r="41" spans="1:22" ht="12.75" hidden="1">
      <c r="A41" s="22"/>
      <c r="C41" s="52" t="s">
        <v>249</v>
      </c>
      <c r="D41" s="46"/>
      <c r="E41" s="46"/>
      <c r="F41" s="58"/>
      <c r="G41" s="46"/>
      <c r="H41" s="7"/>
      <c r="I41" s="46"/>
      <c r="J41" s="59"/>
      <c r="K41" s="46"/>
      <c r="L41" s="268">
        <f>'Sizing Worksheet'!F11</f>
        <v>3134571.85</v>
      </c>
      <c r="M41" s="7"/>
      <c r="N41" s="457"/>
      <c r="O41" s="458"/>
      <c r="P41" s="458"/>
      <c r="Q41" s="458"/>
      <c r="R41" s="459"/>
      <c r="S41" s="47"/>
      <c r="V41" s="44"/>
    </row>
    <row r="42" spans="1:22" ht="12.75" hidden="1">
      <c r="A42" s="22"/>
      <c r="C42" s="63" t="s">
        <v>322</v>
      </c>
      <c r="D42" s="46"/>
      <c r="E42" s="46"/>
      <c r="F42" s="58"/>
      <c r="G42" s="46"/>
      <c r="H42" s="7"/>
      <c r="I42" s="46"/>
      <c r="J42" s="59"/>
      <c r="K42" s="46"/>
      <c r="L42" s="64">
        <f>L41-L40</f>
        <v>3134571.85</v>
      </c>
      <c r="M42" s="7"/>
      <c r="N42" s="457"/>
      <c r="O42" s="458"/>
      <c r="P42" s="458"/>
      <c r="Q42" s="458"/>
      <c r="R42" s="459"/>
      <c r="S42" s="47"/>
      <c r="V42" s="44"/>
    </row>
    <row r="43" spans="1:22" ht="12.75" hidden="1">
      <c r="A43" s="22"/>
      <c r="C43" s="46"/>
      <c r="D43" s="46"/>
      <c r="E43" s="46"/>
      <c r="F43" s="58"/>
      <c r="G43" s="46"/>
      <c r="H43" s="7"/>
      <c r="I43" s="46"/>
      <c r="J43" s="59"/>
      <c r="K43" s="46"/>
      <c r="L43" s="65"/>
      <c r="M43" s="7"/>
      <c r="N43" s="457"/>
      <c r="O43" s="458"/>
      <c r="P43" s="458"/>
      <c r="Q43" s="458"/>
      <c r="R43" s="459"/>
      <c r="S43" s="47"/>
      <c r="V43" s="44"/>
    </row>
    <row r="44" spans="1:22" ht="12.75" hidden="1">
      <c r="A44" s="22"/>
      <c r="D44" s="66">
        <f>IF(AND(L44&lt;&gt;"n/a",L44&gt;0),"Your Actual Total Disbursements were lower than your Projections by","")</f>
      </c>
      <c r="E44" s="46"/>
      <c r="F44" s="58"/>
      <c r="G44" s="46"/>
      <c r="H44" s="7"/>
      <c r="I44" s="46"/>
      <c r="J44" s="59"/>
      <c r="K44" s="46"/>
      <c r="L44" s="53" t="str">
        <f>IF(L40&lt;&gt;0,L42/L40,"n/a")</f>
        <v>n/a</v>
      </c>
      <c r="M44" s="7"/>
      <c r="N44" s="457"/>
      <c r="O44" s="458"/>
      <c r="P44" s="458"/>
      <c r="Q44" s="458"/>
      <c r="R44" s="459"/>
      <c r="S44" s="47"/>
      <c r="V44" s="44"/>
    </row>
    <row r="45" spans="1:22" ht="12.75" hidden="1">
      <c r="A45" s="22"/>
      <c r="C45" s="46"/>
      <c r="D45" s="46"/>
      <c r="E45" s="46"/>
      <c r="F45" s="58"/>
      <c r="G45" s="46"/>
      <c r="H45" s="7"/>
      <c r="I45" s="46"/>
      <c r="J45" s="59"/>
      <c r="K45" s="46"/>
      <c r="L45" s="65"/>
      <c r="M45" s="7"/>
      <c r="N45" s="460"/>
      <c r="O45" s="461"/>
      <c r="P45" s="461"/>
      <c r="Q45" s="461"/>
      <c r="R45" s="462"/>
      <c r="S45" s="47"/>
      <c r="V45" s="44"/>
    </row>
    <row r="46" spans="1:22" ht="12.75" hidden="1">
      <c r="A46" s="22"/>
      <c r="C46" s="46"/>
      <c r="D46" s="46"/>
      <c r="E46" s="46"/>
      <c r="F46" s="58"/>
      <c r="G46" s="46"/>
      <c r="H46" s="7"/>
      <c r="I46" s="46"/>
      <c r="J46" s="59"/>
      <c r="K46" s="46"/>
      <c r="L46" s="46"/>
      <c r="M46" s="7"/>
      <c r="N46" s="67"/>
      <c r="O46" s="67"/>
      <c r="P46" s="67"/>
      <c r="Q46" s="67"/>
      <c r="R46" s="67"/>
      <c r="S46" s="47"/>
      <c r="V46" s="44"/>
    </row>
    <row r="47" spans="1:22" ht="27.75" customHeight="1" hidden="1">
      <c r="A47" s="22"/>
      <c r="C47" s="68" t="s">
        <v>231</v>
      </c>
      <c r="D47" s="46"/>
      <c r="E47" s="46"/>
      <c r="F47" s="58"/>
      <c r="G47" s="46"/>
      <c r="H47" s="7"/>
      <c r="I47" s="46"/>
      <c r="J47" s="59"/>
      <c r="K47" s="46"/>
      <c r="L47" s="46"/>
      <c r="M47" s="7"/>
      <c r="N47" s="61" t="str">
        <f>IF(OR($J$34="Yes",L51&lt;0),"No explanation is necessary.","")</f>
        <v>No explanation is necessary.</v>
      </c>
      <c r="O47" s="69"/>
      <c r="P47" s="69"/>
      <c r="S47" s="47"/>
      <c r="T47" s="4" t="b">
        <v>0</v>
      </c>
      <c r="V47" s="44"/>
    </row>
    <row r="48" spans="1:22" ht="12.75" hidden="1">
      <c r="A48" s="22"/>
      <c r="C48" s="46"/>
      <c r="D48" s="46"/>
      <c r="E48" s="46"/>
      <c r="F48" s="58"/>
      <c r="G48" s="46"/>
      <c r="H48" s="7"/>
      <c r="I48" s="46"/>
      <c r="J48" s="59"/>
      <c r="K48" s="46"/>
      <c r="L48" s="46"/>
      <c r="M48" s="7"/>
      <c r="N48" s="69"/>
      <c r="O48" s="69"/>
      <c r="P48" s="69"/>
      <c r="S48" s="47"/>
      <c r="V48" s="44"/>
    </row>
    <row r="49" spans="1:22" ht="12.75" hidden="1">
      <c r="A49" s="22">
        <v>11</v>
      </c>
      <c r="C49" s="52" t="s">
        <v>225</v>
      </c>
      <c r="D49" s="46"/>
      <c r="E49" s="46"/>
      <c r="F49" s="58"/>
      <c r="G49" s="46"/>
      <c r="H49" s="7"/>
      <c r="I49" s="46"/>
      <c r="J49" s="59"/>
      <c r="K49" s="46"/>
      <c r="L49" s="55"/>
      <c r="M49" s="7"/>
      <c r="N49" s="454"/>
      <c r="O49" s="455"/>
      <c r="P49" s="455"/>
      <c r="Q49" s="455"/>
      <c r="R49" s="456"/>
      <c r="S49" s="47"/>
      <c r="V49" s="44"/>
    </row>
    <row r="50" spans="1:22" ht="12.75" hidden="1">
      <c r="A50" s="22"/>
      <c r="C50" s="52" t="s">
        <v>194</v>
      </c>
      <c r="D50" s="46"/>
      <c r="E50" s="46"/>
      <c r="F50" s="58"/>
      <c r="G50" s="46"/>
      <c r="H50" s="7"/>
      <c r="I50" s="46"/>
      <c r="J50" s="59"/>
      <c r="K50" s="46"/>
      <c r="L50" s="268">
        <f>SUM('Sizing Worksheet'!H11:H17)</f>
        <v>22921133.13</v>
      </c>
      <c r="M50" s="7"/>
      <c r="N50" s="457"/>
      <c r="O50" s="458"/>
      <c r="P50" s="458"/>
      <c r="Q50" s="458"/>
      <c r="R50" s="459"/>
      <c r="S50" s="47"/>
      <c r="V50" s="44"/>
    </row>
    <row r="51" spans="1:22" ht="12.75" hidden="1">
      <c r="A51" s="22"/>
      <c r="C51" s="63" t="s">
        <v>322</v>
      </c>
      <c r="D51" s="46"/>
      <c r="E51" s="46"/>
      <c r="F51" s="58"/>
      <c r="G51" s="46"/>
      <c r="H51" s="7"/>
      <c r="I51" s="46"/>
      <c r="J51" s="59"/>
      <c r="K51" s="46"/>
      <c r="L51" s="64">
        <f>L50-L49</f>
        <v>22921133.13</v>
      </c>
      <c r="M51" s="7"/>
      <c r="N51" s="457"/>
      <c r="O51" s="458"/>
      <c r="P51" s="458"/>
      <c r="Q51" s="458"/>
      <c r="R51" s="459"/>
      <c r="S51" s="47"/>
      <c r="V51" s="44"/>
    </row>
    <row r="52" spans="1:22" ht="12.75" hidden="1">
      <c r="A52" s="22"/>
      <c r="C52" s="46"/>
      <c r="D52" s="46"/>
      <c r="E52" s="46"/>
      <c r="F52" s="58"/>
      <c r="G52" s="46"/>
      <c r="H52" s="7"/>
      <c r="I52" s="46"/>
      <c r="J52" s="59"/>
      <c r="K52" s="46"/>
      <c r="L52" s="46"/>
      <c r="M52" s="7"/>
      <c r="N52" s="457"/>
      <c r="O52" s="458"/>
      <c r="P52" s="458"/>
      <c r="Q52" s="458"/>
      <c r="R52" s="459"/>
      <c r="S52" s="47"/>
      <c r="V52" s="44"/>
    </row>
    <row r="53" spans="1:22" ht="12.75" hidden="1">
      <c r="A53" s="22"/>
      <c r="D53" s="66">
        <f>IF(AND(L53&lt;&gt;"n/a",L53&gt;0),"Your Actual Total Disbursements were lower than your Projections by","")</f>
      </c>
      <c r="J53" s="70"/>
      <c r="L53" s="53" t="str">
        <f>IF(L49&lt;&gt;0,L51/L49,"n/a")</f>
        <v>n/a</v>
      </c>
      <c r="M53" s="7"/>
      <c r="N53" s="457"/>
      <c r="O53" s="458"/>
      <c r="P53" s="458"/>
      <c r="Q53" s="458"/>
      <c r="R53" s="459"/>
      <c r="S53" s="47"/>
      <c r="V53" s="44"/>
    </row>
    <row r="54" spans="1:22" ht="12.75" hidden="1">
      <c r="A54" s="22"/>
      <c r="C54" s="46"/>
      <c r="D54" s="46"/>
      <c r="E54" s="46"/>
      <c r="F54" s="58"/>
      <c r="G54" s="46"/>
      <c r="H54" s="7"/>
      <c r="I54" s="46"/>
      <c r="J54" s="59"/>
      <c r="K54" s="46"/>
      <c r="L54" s="65"/>
      <c r="M54" s="7"/>
      <c r="N54" s="460"/>
      <c r="O54" s="461"/>
      <c r="P54" s="461"/>
      <c r="Q54" s="461"/>
      <c r="R54" s="462"/>
      <c r="S54" s="47"/>
      <c r="V54" s="44"/>
    </row>
    <row r="55" spans="1:22" ht="12.75" hidden="1">
      <c r="A55" s="22"/>
      <c r="C55" s="46"/>
      <c r="D55" s="46"/>
      <c r="E55" s="46"/>
      <c r="F55" s="58"/>
      <c r="G55" s="46"/>
      <c r="H55" s="7"/>
      <c r="I55" s="46"/>
      <c r="J55" s="59"/>
      <c r="K55" s="46"/>
      <c r="L55" s="65"/>
      <c r="M55" s="7"/>
      <c r="N55" s="67"/>
      <c r="O55" s="67"/>
      <c r="P55" s="67"/>
      <c r="Q55" s="67"/>
      <c r="R55" s="67"/>
      <c r="S55" s="47"/>
      <c r="V55" s="44"/>
    </row>
    <row r="56" spans="1:22" ht="27.75" customHeight="1" hidden="1">
      <c r="A56" s="22"/>
      <c r="C56" s="68" t="s">
        <v>169</v>
      </c>
      <c r="D56" s="46"/>
      <c r="E56" s="46"/>
      <c r="F56" s="58"/>
      <c r="G56" s="46"/>
      <c r="H56" s="7"/>
      <c r="I56" s="46"/>
      <c r="J56" s="59"/>
      <c r="K56" s="46"/>
      <c r="L56" s="46"/>
      <c r="M56" s="7"/>
      <c r="N56" s="61" t="str">
        <f>IF(OR($J$34="Yes",L60&lt;0),"No explanation is necessary.","")</f>
        <v>No explanation is necessary.</v>
      </c>
      <c r="O56" s="69"/>
      <c r="P56" s="69"/>
      <c r="S56" s="47"/>
      <c r="T56" s="4" t="b">
        <v>0</v>
      </c>
      <c r="V56" s="44"/>
    </row>
    <row r="57" spans="1:22" ht="12.75" hidden="1">
      <c r="A57" s="22"/>
      <c r="C57" s="46"/>
      <c r="D57" s="46"/>
      <c r="E57" s="46"/>
      <c r="F57" s="58"/>
      <c r="G57" s="46"/>
      <c r="H57" s="7"/>
      <c r="I57" s="46"/>
      <c r="J57" s="59"/>
      <c r="K57" s="46"/>
      <c r="L57" s="46"/>
      <c r="M57" s="7"/>
      <c r="N57" s="69"/>
      <c r="O57" s="69"/>
      <c r="P57" s="69"/>
      <c r="S57" s="47"/>
      <c r="V57" s="44"/>
    </row>
    <row r="58" spans="1:22" ht="12.75" hidden="1">
      <c r="A58" s="71">
        <v>12</v>
      </c>
      <c r="C58" s="52" t="s">
        <v>170</v>
      </c>
      <c r="D58" s="46"/>
      <c r="E58" s="46"/>
      <c r="F58" s="58"/>
      <c r="G58" s="46"/>
      <c r="H58" s="7"/>
      <c r="I58" s="46"/>
      <c r="J58" s="59"/>
      <c r="K58" s="46"/>
      <c r="L58" s="55"/>
      <c r="M58" s="7"/>
      <c r="N58" s="454"/>
      <c r="O58" s="455"/>
      <c r="P58" s="455"/>
      <c r="Q58" s="455"/>
      <c r="R58" s="456"/>
      <c r="S58" s="47"/>
      <c r="V58" s="44"/>
    </row>
    <row r="59" spans="1:22" ht="12.75" hidden="1">
      <c r="A59" s="22"/>
      <c r="C59" s="52" t="s">
        <v>171</v>
      </c>
      <c r="D59" s="46"/>
      <c r="E59" s="46"/>
      <c r="F59" s="58"/>
      <c r="G59" s="46"/>
      <c r="H59" s="7"/>
      <c r="I59" s="46"/>
      <c r="J59" s="59"/>
      <c r="K59" s="46"/>
      <c r="L59" s="268">
        <f>SUM('Sizing Worksheet'!J11:J17)</f>
        <v>20619067.540000003</v>
      </c>
      <c r="M59" s="7"/>
      <c r="N59" s="457"/>
      <c r="O59" s="458"/>
      <c r="P59" s="458"/>
      <c r="Q59" s="458"/>
      <c r="R59" s="459"/>
      <c r="S59" s="47"/>
      <c r="V59" s="44"/>
    </row>
    <row r="60" spans="1:22" ht="12.75" hidden="1">
      <c r="A60" s="22"/>
      <c r="C60" s="63" t="s">
        <v>322</v>
      </c>
      <c r="D60" s="46"/>
      <c r="E60" s="46"/>
      <c r="F60" s="58"/>
      <c r="G60" s="46"/>
      <c r="H60" s="7"/>
      <c r="I60" s="46"/>
      <c r="J60" s="59"/>
      <c r="K60" s="46"/>
      <c r="L60" s="64">
        <f>L58-L59</f>
        <v>-20619067.540000003</v>
      </c>
      <c r="M60" s="7"/>
      <c r="N60" s="457"/>
      <c r="O60" s="458"/>
      <c r="P60" s="458"/>
      <c r="Q60" s="458"/>
      <c r="R60" s="459"/>
      <c r="S60" s="47"/>
      <c r="V60" s="44"/>
    </row>
    <row r="61" spans="1:22" ht="12.75" hidden="1">
      <c r="A61" s="22"/>
      <c r="C61" s="46"/>
      <c r="D61" s="46"/>
      <c r="E61" s="46"/>
      <c r="F61" s="58"/>
      <c r="G61" s="46"/>
      <c r="H61" s="7"/>
      <c r="I61" s="46"/>
      <c r="J61" s="59"/>
      <c r="K61" s="46"/>
      <c r="L61" s="46"/>
      <c r="M61" s="7"/>
      <c r="N61" s="457"/>
      <c r="O61" s="458"/>
      <c r="P61" s="458"/>
      <c r="Q61" s="458"/>
      <c r="R61" s="459"/>
      <c r="S61" s="47"/>
      <c r="V61" s="44"/>
    </row>
    <row r="62" spans="1:22" ht="12.75" hidden="1">
      <c r="A62" s="22"/>
      <c r="D62" s="66">
        <f>IF(AND(L62&lt;&gt;"n/a",L62&gt;0),"Your Actual Total Disbursements were lower than your Projections by","")</f>
      </c>
      <c r="E62" s="46"/>
      <c r="F62" s="58"/>
      <c r="G62" s="46"/>
      <c r="H62" s="7"/>
      <c r="I62" s="46"/>
      <c r="J62" s="59"/>
      <c r="K62" s="46"/>
      <c r="L62" s="53" t="str">
        <f>IF(L58&lt;&gt;0,L60/L58,"n/a")</f>
        <v>n/a</v>
      </c>
      <c r="M62" s="7"/>
      <c r="N62" s="457"/>
      <c r="O62" s="458"/>
      <c r="P62" s="458"/>
      <c r="Q62" s="458"/>
      <c r="R62" s="459"/>
      <c r="S62" s="47"/>
      <c r="V62" s="44"/>
    </row>
    <row r="63" spans="1:22" ht="12.75" hidden="1">
      <c r="A63" s="22"/>
      <c r="C63" s="46"/>
      <c r="D63" s="46"/>
      <c r="E63" s="46"/>
      <c r="F63" s="58"/>
      <c r="G63" s="46"/>
      <c r="H63" s="7"/>
      <c r="I63" s="46"/>
      <c r="J63" s="59"/>
      <c r="K63" s="46"/>
      <c r="L63" s="65"/>
      <c r="M63" s="7"/>
      <c r="N63" s="460"/>
      <c r="O63" s="461"/>
      <c r="P63" s="461"/>
      <c r="Q63" s="461"/>
      <c r="R63" s="462"/>
      <c r="S63" s="47"/>
      <c r="V63" s="44"/>
    </row>
    <row r="64" spans="1:22" ht="12.75" hidden="1">
      <c r="A64" s="22"/>
      <c r="B64" s="46"/>
      <c r="C64" s="46"/>
      <c r="D64" s="46"/>
      <c r="E64" s="46"/>
      <c r="F64" s="58"/>
      <c r="G64" s="46"/>
      <c r="H64" s="7"/>
      <c r="I64" s="46"/>
      <c r="J64" s="59"/>
      <c r="K64" s="46"/>
      <c r="L64" s="46"/>
      <c r="M64" s="7"/>
      <c r="N64" s="7"/>
      <c r="O64" s="7"/>
      <c r="P64" s="7"/>
      <c r="Q64" s="7"/>
      <c r="R64" s="7"/>
      <c r="S64" s="47"/>
      <c r="V64" s="44"/>
    </row>
    <row r="65" spans="1:19" ht="12.75" hidden="1">
      <c r="A65" s="72"/>
      <c r="B65" s="73"/>
      <c r="C65" s="73"/>
      <c r="D65" s="73"/>
      <c r="E65" s="73"/>
      <c r="F65" s="73"/>
      <c r="G65" s="73"/>
      <c r="H65" s="73"/>
      <c r="I65" s="73"/>
      <c r="J65" s="73"/>
      <c r="K65" s="73"/>
      <c r="L65" s="73"/>
      <c r="M65" s="73"/>
      <c r="N65" s="73"/>
      <c r="O65" s="73"/>
      <c r="P65" s="73"/>
      <c r="Q65" s="73"/>
      <c r="R65" s="73"/>
      <c r="S65" s="74"/>
    </row>
    <row r="66" spans="1:19" ht="18">
      <c r="A66" s="7"/>
      <c r="C66" s="75"/>
      <c r="D66" s="7"/>
      <c r="E66" s="7"/>
      <c r="F66" s="7"/>
      <c r="G66" s="7"/>
      <c r="H66" s="7"/>
      <c r="I66" s="7"/>
      <c r="J66" s="7"/>
      <c r="K66" s="7"/>
      <c r="L66" s="7"/>
      <c r="M66" s="7"/>
      <c r="N66" s="7"/>
      <c r="O66" s="7"/>
      <c r="P66" s="7"/>
      <c r="Q66" s="7"/>
      <c r="R66" s="7"/>
      <c r="S66" s="7"/>
    </row>
    <row r="67" ht="15"/>
    <row r="68" ht="15"/>
    <row r="127" spans="44:46" ht="12.75">
      <c r="AR127" s="76" t="s">
        <v>217</v>
      </c>
      <c r="AS127" s="76" t="s">
        <v>217</v>
      </c>
      <c r="AT127" s="76" t="s">
        <v>217</v>
      </c>
    </row>
    <row r="128" spans="44:46" ht="12.75">
      <c r="AR128" s="76" t="s">
        <v>217</v>
      </c>
      <c r="AS128" s="76" t="s">
        <v>217</v>
      </c>
      <c r="AT128" s="76" t="s">
        <v>217</v>
      </c>
    </row>
    <row r="129" spans="44:45" ht="12.75">
      <c r="AR129" s="76" t="s">
        <v>217</v>
      </c>
      <c r="AS129" s="16" t="s">
        <v>218</v>
      </c>
    </row>
    <row r="130" spans="44:45" ht="12.75">
      <c r="AR130" s="76" t="s">
        <v>217</v>
      </c>
      <c r="AS130" s="16" t="s">
        <v>219</v>
      </c>
    </row>
    <row r="131" spans="44:45" ht="12.75">
      <c r="AR131" s="76" t="s">
        <v>217</v>
      </c>
      <c r="AS131" s="16" t="s">
        <v>220</v>
      </c>
    </row>
    <row r="132" spans="44:45" ht="12.75">
      <c r="AR132" s="76" t="s">
        <v>217</v>
      </c>
      <c r="AS132" s="16" t="s">
        <v>219</v>
      </c>
    </row>
    <row r="133" ht="12.75">
      <c r="AR133" s="76" t="s">
        <v>217</v>
      </c>
    </row>
    <row r="134" ht="12.75">
      <c r="AR134" s="76" t="s">
        <v>217</v>
      </c>
    </row>
    <row r="135" ht="12.75">
      <c r="AR135" s="76" t="s">
        <v>217</v>
      </c>
    </row>
    <row r="136" ht="12.75">
      <c r="AR136" s="76" t="s">
        <v>217</v>
      </c>
    </row>
    <row r="137" ht="12.75">
      <c r="AR137" s="76" t="s">
        <v>217</v>
      </c>
    </row>
    <row r="138" ht="12.75">
      <c r="AR138" s="76" t="s">
        <v>217</v>
      </c>
    </row>
    <row r="139" ht="12.75">
      <c r="AR139" s="76" t="s">
        <v>217</v>
      </c>
    </row>
    <row r="140" ht="12.75">
      <c r="AR140" s="76" t="s">
        <v>217</v>
      </c>
    </row>
    <row r="141" ht="12.75">
      <c r="AR141" s="76" t="s">
        <v>217</v>
      </c>
    </row>
    <row r="142" ht="12.75">
      <c r="AR142" s="76" t="s">
        <v>217</v>
      </c>
    </row>
    <row r="143" ht="12.75">
      <c r="AR143" s="76" t="s">
        <v>217</v>
      </c>
    </row>
    <row r="144" ht="12.75">
      <c r="AR144" s="76" t="s">
        <v>217</v>
      </c>
    </row>
  </sheetData>
  <sheetProtection password="CA11" sheet="1" objects="1" scenarios="1"/>
  <mergeCells count="4">
    <mergeCell ref="E4:P4"/>
    <mergeCell ref="N40:R45"/>
    <mergeCell ref="N49:R54"/>
    <mergeCell ref="N58:R63"/>
  </mergeCells>
  <conditionalFormatting sqref="L40 L58 L49 J30:J32">
    <cfRule type="cellIs" priority="1" dxfId="4" operator="equal" stopIfTrue="1">
      <formula>"Select Above"</formula>
    </cfRule>
  </conditionalFormatting>
  <conditionalFormatting sqref="N58:R63 N49:R54 N40:R45">
    <cfRule type="cellIs" priority="2" dxfId="4" operator="equal" stopIfTrue="1">
      <formula>"Please provide explanation"</formula>
    </cfRule>
  </conditionalFormatting>
  <conditionalFormatting sqref="L44 L62 L53">
    <cfRule type="cellIs" priority="3" dxfId="1" operator="greaterThan" stopIfTrue="1">
      <formula>0.1</formula>
    </cfRule>
  </conditionalFormatting>
  <conditionalFormatting sqref="N47 N38 N56">
    <cfRule type="cellIs" priority="4" dxfId="1" operator="equal" stopIfTrue="1">
      <formula>"Please explain how this impacted your projection."</formula>
    </cfRule>
    <cfRule type="cellIs" priority="5" dxfId="1" operator="equal" stopIfTrue="1">
      <formula>"Please explain why you missed your projection."</formula>
    </cfRule>
  </conditionalFormatting>
  <dataValidations count="2">
    <dataValidation type="list" allowBlank="1" showInputMessage="1" showErrorMessage="1" sqref="N10">
      <formula1>$X$17:$X$19</formula1>
    </dataValidation>
    <dataValidation type="list" allowBlank="1" showInputMessage="1" showErrorMessage="1" sqref="H28">
      <formula1>$X$28:$X$30</formula1>
    </dataValidation>
  </dataValidations>
  <printOptions horizontalCentered="1"/>
  <pageMargins left="0.25" right="0.25" top="0.5" bottom="0.5" header="0.5" footer="0.5"/>
  <pageSetup fitToHeight="1" fitToWidth="1" orientation="landscape" scale="61"/>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F65239"/>
  <sheetViews>
    <sheetView zoomScale="90" zoomScaleNormal="90" workbookViewId="0" topLeftCell="A1">
      <selection activeCell="M19" sqref="M19:S21"/>
    </sheetView>
  </sheetViews>
  <sheetFormatPr defaultColWidth="8.88671875" defaultRowHeight="15"/>
  <cols>
    <col min="1" max="1" width="1.77734375" style="77" customWidth="1"/>
    <col min="2" max="2" width="3.77734375" style="77" customWidth="1"/>
    <col min="3" max="3" width="13.99609375" style="77" customWidth="1"/>
    <col min="4" max="4" width="2.21484375" style="77" customWidth="1"/>
    <col min="5" max="5" width="8.99609375" style="77" customWidth="1"/>
    <col min="6" max="6" width="2.21484375" style="77" customWidth="1"/>
    <col min="7" max="7" width="28.77734375" style="77" customWidth="1"/>
    <col min="8" max="8" width="2.21484375" style="77" customWidth="1"/>
    <col min="9" max="9" width="19.88671875" style="77" customWidth="1"/>
    <col min="10" max="10" width="2.3359375" style="77" customWidth="1"/>
    <col min="11" max="11" width="11.99609375" style="77" customWidth="1"/>
    <col min="12" max="12" width="2.3359375" style="77" customWidth="1"/>
    <col min="13" max="13" width="10.6640625" style="77" customWidth="1"/>
    <col min="14" max="14" width="2.3359375" style="77" customWidth="1"/>
    <col min="15" max="15" width="10.6640625" style="77" customWidth="1"/>
    <col min="16" max="16" width="2.3359375" style="77" customWidth="1"/>
    <col min="17" max="17" width="10.6640625" style="77" customWidth="1"/>
    <col min="18" max="18" width="2.3359375" style="77" customWidth="1"/>
    <col min="19" max="19" width="10.6640625" style="77" customWidth="1"/>
    <col min="20" max="20" width="1.77734375" style="77" customWidth="1"/>
    <col min="21" max="21" width="5.4453125" style="77" customWidth="1"/>
    <col min="22" max="23" width="8.88671875" style="77" hidden="1" customWidth="1"/>
    <col min="24" max="24" width="13.77734375" style="77" hidden="1" customWidth="1"/>
    <col min="25" max="25" width="2.3359375" style="77" hidden="1" customWidth="1"/>
    <col min="26" max="29" width="8.88671875" style="77" hidden="1" customWidth="1"/>
    <col min="30" max="32" width="8.88671875" style="121" hidden="1" customWidth="1"/>
    <col min="33" max="58" width="8.88671875" style="121" customWidth="1"/>
    <col min="59" max="16384" width="8.88671875" style="77" customWidth="1"/>
  </cols>
  <sheetData>
    <row r="1" spans="1:58" ht="12.75">
      <c r="A1" s="269" t="str">
        <f>'Summary Tab'!A1</f>
        <v>"Master Template" School District</v>
      </c>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30:58" ht="13.5" thickBot="1">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1:58" ht="18.75">
      <c r="A3" s="80" t="s">
        <v>140</v>
      </c>
      <c r="B3" s="81"/>
      <c r="C3" s="81"/>
      <c r="D3" s="81"/>
      <c r="E3" s="81"/>
      <c r="F3" s="81"/>
      <c r="G3" s="81"/>
      <c r="H3" s="81"/>
      <c r="I3" s="81"/>
      <c r="J3" s="81"/>
      <c r="K3" s="81"/>
      <c r="L3" s="81"/>
      <c r="M3" s="81"/>
      <c r="N3" s="81"/>
      <c r="O3" s="81"/>
      <c r="P3" s="81"/>
      <c r="Q3" s="81"/>
      <c r="R3" s="81"/>
      <c r="S3" s="81"/>
      <c r="T3" s="82"/>
      <c r="X3" s="81"/>
      <c r="Y3" s="81"/>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1:24" s="100" customFormat="1" ht="12.75">
      <c r="A4" s="86"/>
      <c r="B4" s="122"/>
      <c r="C4" s="134"/>
      <c r="D4" s="134"/>
      <c r="E4" s="134"/>
      <c r="F4" s="134"/>
      <c r="G4" s="135"/>
      <c r="H4" s="135"/>
      <c r="I4" s="135"/>
      <c r="J4" s="136"/>
      <c r="K4" s="226"/>
      <c r="M4" s="143"/>
      <c r="N4" s="136"/>
      <c r="O4" s="138"/>
      <c r="P4" s="139"/>
      <c r="Q4" s="140"/>
      <c r="R4" s="139"/>
      <c r="S4" s="140"/>
      <c r="T4" s="90"/>
      <c r="V4" s="142"/>
      <c r="X4" s="226"/>
    </row>
    <row r="5" spans="1:24" s="100" customFormat="1" ht="12.75">
      <c r="A5" s="86"/>
      <c r="B5" s="91" t="s">
        <v>275</v>
      </c>
      <c r="C5" s="134"/>
      <c r="D5" s="134"/>
      <c r="E5" s="134"/>
      <c r="F5" s="134"/>
      <c r="G5" s="135"/>
      <c r="H5" s="135"/>
      <c r="I5" s="135"/>
      <c r="J5" s="136"/>
      <c r="K5" s="226"/>
      <c r="M5" s="143"/>
      <c r="N5" s="136"/>
      <c r="O5" s="138"/>
      <c r="P5" s="139"/>
      <c r="Q5" s="140"/>
      <c r="R5" s="139"/>
      <c r="S5" s="140"/>
      <c r="T5" s="90"/>
      <c r="V5" s="142"/>
      <c r="X5" s="226"/>
    </row>
    <row r="6" spans="1:24" s="100" customFormat="1" ht="12.75">
      <c r="A6" s="86"/>
      <c r="B6" s="89" t="s">
        <v>318</v>
      </c>
      <c r="C6" s="88" t="s">
        <v>382</v>
      </c>
      <c r="D6" s="88"/>
      <c r="E6" s="88"/>
      <c r="F6" s="88"/>
      <c r="G6" s="135"/>
      <c r="H6" s="135"/>
      <c r="I6" s="135"/>
      <c r="J6" s="136"/>
      <c r="K6" s="226"/>
      <c r="M6" s="143"/>
      <c r="N6" s="136"/>
      <c r="O6" s="138"/>
      <c r="P6" s="139"/>
      <c r="Q6" s="140"/>
      <c r="R6" s="139"/>
      <c r="S6" s="140"/>
      <c r="T6" s="90"/>
      <c r="V6" s="142"/>
      <c r="X6" s="226"/>
    </row>
    <row r="7" spans="1:24" s="100" customFormat="1" ht="12.75">
      <c r="A7" s="86"/>
      <c r="B7" s="89" t="s">
        <v>319</v>
      </c>
      <c r="C7" s="89" t="s">
        <v>362</v>
      </c>
      <c r="D7" s="89"/>
      <c r="E7" s="89"/>
      <c r="F7" s="89"/>
      <c r="G7" s="135"/>
      <c r="H7" s="135"/>
      <c r="I7" s="135"/>
      <c r="J7" s="136"/>
      <c r="K7" s="226"/>
      <c r="M7" s="143"/>
      <c r="N7" s="136"/>
      <c r="O7" s="138"/>
      <c r="P7" s="139"/>
      <c r="Q7" s="140"/>
      <c r="R7" s="139"/>
      <c r="S7" s="140"/>
      <c r="T7" s="90"/>
      <c r="V7" s="142"/>
      <c r="X7" s="226"/>
    </row>
    <row r="8" spans="1:24" s="100" customFormat="1" ht="12.75">
      <c r="A8" s="86"/>
      <c r="B8" s="89"/>
      <c r="C8" s="89" t="s">
        <v>290</v>
      </c>
      <c r="D8" s="89"/>
      <c r="E8" s="89"/>
      <c r="F8" s="89"/>
      <c r="G8" s="135"/>
      <c r="H8" s="135"/>
      <c r="I8" s="135"/>
      <c r="J8" s="136"/>
      <c r="K8" s="226"/>
      <c r="M8" s="143"/>
      <c r="N8" s="136"/>
      <c r="O8" s="138"/>
      <c r="P8" s="139"/>
      <c r="Q8" s="140"/>
      <c r="R8" s="139"/>
      <c r="S8" s="140"/>
      <c r="T8" s="90"/>
      <c r="V8" s="142"/>
      <c r="X8" s="226"/>
    </row>
    <row r="9" spans="1:24" s="100" customFormat="1" ht="12.75">
      <c r="A9" s="86"/>
      <c r="B9" s="89" t="s">
        <v>317</v>
      </c>
      <c r="C9" s="89" t="s">
        <v>261</v>
      </c>
      <c r="D9" s="89"/>
      <c r="E9" s="89"/>
      <c r="F9" s="89"/>
      <c r="G9" s="135"/>
      <c r="H9" s="135"/>
      <c r="I9" s="135"/>
      <c r="J9" s="136"/>
      <c r="K9" s="226"/>
      <c r="M9" s="143"/>
      <c r="N9" s="136"/>
      <c r="O9" s="138"/>
      <c r="P9" s="139"/>
      <c r="Q9" s="140"/>
      <c r="R9" s="139"/>
      <c r="S9" s="140"/>
      <c r="T9" s="90"/>
      <c r="V9" s="142"/>
      <c r="X9" s="226"/>
    </row>
    <row r="10" spans="1:24" s="100" customFormat="1" ht="12.75">
      <c r="A10" s="86"/>
      <c r="B10" s="89" t="s">
        <v>415</v>
      </c>
      <c r="C10" s="88" t="s">
        <v>120</v>
      </c>
      <c r="D10" s="89"/>
      <c r="E10" s="89"/>
      <c r="F10" s="89"/>
      <c r="G10" s="135"/>
      <c r="H10" s="135"/>
      <c r="I10" s="135"/>
      <c r="J10" s="136"/>
      <c r="K10" s="226"/>
      <c r="M10" s="143"/>
      <c r="N10" s="136"/>
      <c r="O10" s="138"/>
      <c r="P10" s="139"/>
      <c r="Q10" s="140"/>
      <c r="R10" s="139"/>
      <c r="S10" s="140"/>
      <c r="T10" s="90"/>
      <c r="V10" s="142"/>
      <c r="X10" s="226"/>
    </row>
    <row r="11" spans="1:24" s="100" customFormat="1" ht="12.75">
      <c r="A11" s="86"/>
      <c r="B11" s="89" t="s">
        <v>416</v>
      </c>
      <c r="C11" s="89" t="s">
        <v>381</v>
      </c>
      <c r="D11" s="89"/>
      <c r="E11" s="89"/>
      <c r="F11" s="89"/>
      <c r="G11" s="135"/>
      <c r="H11" s="135"/>
      <c r="I11" s="135"/>
      <c r="J11" s="136"/>
      <c r="K11" s="226"/>
      <c r="M11" s="143"/>
      <c r="N11" s="136"/>
      <c r="O11" s="138"/>
      <c r="P11" s="139"/>
      <c r="Q11" s="140"/>
      <c r="R11" s="139"/>
      <c r="S11" s="140"/>
      <c r="T11" s="90"/>
      <c r="V11" s="142"/>
      <c r="X11" s="226"/>
    </row>
    <row r="12" spans="1:20" s="100" customFormat="1" ht="12.75">
      <c r="A12" s="86"/>
      <c r="B12" s="89" t="s">
        <v>417</v>
      </c>
      <c r="C12" s="89" t="s">
        <v>246</v>
      </c>
      <c r="D12" s="134"/>
      <c r="E12" s="134"/>
      <c r="F12" s="134"/>
      <c r="G12" s="135"/>
      <c r="H12" s="135"/>
      <c r="I12" s="135"/>
      <c r="J12" s="136"/>
      <c r="M12" s="137"/>
      <c r="N12" s="136"/>
      <c r="O12" s="227"/>
      <c r="Q12" s="227"/>
      <c r="S12" s="227"/>
      <c r="T12" s="90"/>
    </row>
    <row r="13" spans="1:24" s="100" customFormat="1" ht="12.75">
      <c r="A13" s="86"/>
      <c r="B13" s="89"/>
      <c r="C13" s="89"/>
      <c r="D13" s="134"/>
      <c r="E13" s="134"/>
      <c r="F13" s="134"/>
      <c r="G13" s="135"/>
      <c r="H13" s="135"/>
      <c r="I13" s="135"/>
      <c r="J13" s="136"/>
      <c r="M13" s="137"/>
      <c r="N13" s="136"/>
      <c r="O13" s="227"/>
      <c r="Q13" s="227"/>
      <c r="S13" s="227"/>
      <c r="T13" s="90"/>
      <c r="X13" s="98"/>
    </row>
    <row r="14" spans="1:24" s="100" customFormat="1" ht="12.75">
      <c r="A14" s="86"/>
      <c r="B14" s="89"/>
      <c r="C14" s="89"/>
      <c r="D14" s="134"/>
      <c r="E14" s="134"/>
      <c r="F14" s="134"/>
      <c r="G14" s="135"/>
      <c r="H14" s="135"/>
      <c r="I14" s="135"/>
      <c r="J14" s="136"/>
      <c r="K14" s="98" t="s">
        <v>223</v>
      </c>
      <c r="M14" s="97"/>
      <c r="N14" s="97"/>
      <c r="O14" s="98"/>
      <c r="P14" s="92"/>
      <c r="Q14" s="98" t="s">
        <v>315</v>
      </c>
      <c r="R14" s="92"/>
      <c r="S14" s="98" t="s">
        <v>315</v>
      </c>
      <c r="T14" s="90"/>
      <c r="X14" s="98" t="s">
        <v>126</v>
      </c>
    </row>
    <row r="15" spans="1:25" s="100" customFormat="1" ht="12.75">
      <c r="A15" s="86"/>
      <c r="C15" s="95"/>
      <c r="D15" s="89"/>
      <c r="E15" s="95" t="s">
        <v>411</v>
      </c>
      <c r="F15" s="89"/>
      <c r="G15" s="95"/>
      <c r="H15" s="96"/>
      <c r="I15" s="96"/>
      <c r="J15" s="97"/>
      <c r="K15" s="98" t="s">
        <v>308</v>
      </c>
      <c r="L15" s="89"/>
      <c r="M15" s="95" t="s">
        <v>413</v>
      </c>
      <c r="N15" s="104"/>
      <c r="O15" s="98" t="s">
        <v>293</v>
      </c>
      <c r="P15" s="89"/>
      <c r="Q15" s="98" t="s">
        <v>293</v>
      </c>
      <c r="R15" s="89"/>
      <c r="S15" s="98" t="s">
        <v>293</v>
      </c>
      <c r="T15" s="90"/>
      <c r="X15" s="98" t="s">
        <v>138</v>
      </c>
      <c r="Y15" s="89"/>
    </row>
    <row r="16" spans="1:25" s="100" customFormat="1" ht="12.75">
      <c r="A16" s="86"/>
      <c r="B16" s="122"/>
      <c r="C16" s="105" t="s">
        <v>221</v>
      </c>
      <c r="D16" s="102"/>
      <c r="E16" s="105" t="s">
        <v>412</v>
      </c>
      <c r="F16" s="102"/>
      <c r="G16" s="105" t="s">
        <v>291</v>
      </c>
      <c r="H16" s="103"/>
      <c r="I16" s="105" t="s">
        <v>316</v>
      </c>
      <c r="J16" s="97"/>
      <c r="K16" s="105" t="s">
        <v>348</v>
      </c>
      <c r="L16" s="89"/>
      <c r="M16" s="229" t="s">
        <v>72</v>
      </c>
      <c r="N16" s="109"/>
      <c r="O16" s="229" t="s">
        <v>73</v>
      </c>
      <c r="P16" s="89"/>
      <c r="Q16" s="229" t="s">
        <v>151</v>
      </c>
      <c r="R16" s="89"/>
      <c r="S16" s="229" t="s">
        <v>419</v>
      </c>
      <c r="T16" s="90"/>
      <c r="X16" s="98" t="s">
        <v>277</v>
      </c>
      <c r="Y16" s="89"/>
    </row>
    <row r="17" spans="1:25" s="100" customFormat="1" ht="12.75">
      <c r="A17" s="86"/>
      <c r="B17" s="122"/>
      <c r="C17" s="228"/>
      <c r="D17" s="98"/>
      <c r="E17" s="148"/>
      <c r="F17" s="98"/>
      <c r="G17" s="111"/>
      <c r="H17" s="95"/>
      <c r="I17" s="111" t="s">
        <v>418</v>
      </c>
      <c r="J17" s="107"/>
      <c r="K17" s="229" t="s">
        <v>187</v>
      </c>
      <c r="L17" s="89"/>
      <c r="M17" s="111" t="s">
        <v>167</v>
      </c>
      <c r="N17" s="109"/>
      <c r="O17" s="229"/>
      <c r="P17" s="89"/>
      <c r="Q17" s="229"/>
      <c r="R17" s="89"/>
      <c r="S17" s="229"/>
      <c r="T17" s="90"/>
      <c r="X17" s="229" t="s">
        <v>187</v>
      </c>
      <c r="Y17" s="89"/>
    </row>
    <row r="18" spans="1:31" ht="12.75">
      <c r="A18" s="86"/>
      <c r="B18" s="230"/>
      <c r="C18" s="150"/>
      <c r="D18" s="150"/>
      <c r="E18" s="149"/>
      <c r="F18" s="150"/>
      <c r="G18" s="149"/>
      <c r="H18" s="149"/>
      <c r="I18" s="111"/>
      <c r="J18" s="231"/>
      <c r="K18" s="230"/>
      <c r="L18" s="230"/>
      <c r="M18" s="232"/>
      <c r="N18" s="231"/>
      <c r="O18" s="233"/>
      <c r="P18" s="230"/>
      <c r="Q18" s="233"/>
      <c r="R18" s="230"/>
      <c r="S18" s="233"/>
      <c r="T18" s="90"/>
      <c r="V18" s="100"/>
      <c r="W18" s="100"/>
      <c r="X18" s="270"/>
      <c r="Y18" s="230"/>
      <c r="Z18" s="77" t="s">
        <v>97</v>
      </c>
      <c r="AA18" s="120" t="s">
        <v>152</v>
      </c>
      <c r="AB18" s="120" t="s">
        <v>121</v>
      </c>
      <c r="AC18" s="120" t="s">
        <v>414</v>
      </c>
      <c r="AE18" s="4" t="s">
        <v>70</v>
      </c>
    </row>
    <row r="19" spans="1:31" ht="24.75" customHeight="1">
      <c r="A19" s="86"/>
      <c r="B19" s="112">
        <v>1</v>
      </c>
      <c r="C19" s="234" t="s">
        <v>292</v>
      </c>
      <c r="D19" s="152"/>
      <c r="E19" s="151"/>
      <c r="F19" s="152"/>
      <c r="G19" s="151"/>
      <c r="H19" s="235"/>
      <c r="I19" s="131" t="s">
        <v>292</v>
      </c>
      <c r="J19" s="126"/>
      <c r="K19" s="236" t="s">
        <v>103</v>
      </c>
      <c r="L19" s="128"/>
      <c r="M19" s="127"/>
      <c r="N19" s="126"/>
      <c r="O19" s="127"/>
      <c r="P19" s="237"/>
      <c r="Q19" s="127"/>
      <c r="R19" s="237"/>
      <c r="S19" s="127"/>
      <c r="T19" s="90"/>
      <c r="V19" s="272">
        <f aca="true" t="shared" si="0" ref="V19:V31">IF(C19=$V$55,"",C19)</f>
      </c>
      <c r="W19" s="272"/>
      <c r="X19" s="271" t="str">
        <f aca="true" t="shared" si="1" ref="X19:X31">IF(OR($I19=$X$55,$I19=$X$62),"Yes","No")</f>
        <v>Yes</v>
      </c>
      <c r="Y19" s="100"/>
      <c r="Z19" s="77">
        <f>IF(X19="Yes",M19,"")</f>
        <v>0</v>
      </c>
      <c r="AA19" s="77">
        <f>IF(X19="Yes",IF(M19=0,0,(M19-O19)/12),"")</f>
        <v>0</v>
      </c>
      <c r="AB19" s="77">
        <f>IF(X19="Yes",IF(O19=0,0,(O19-Q19)/12),"")</f>
        <v>0</v>
      </c>
      <c r="AC19" s="77">
        <f>IF(X19="Yes",IF(Q19=0,0,(Q19-S19)/12),"")</f>
        <v>0</v>
      </c>
      <c r="AE19" s="4" t="s">
        <v>124</v>
      </c>
    </row>
    <row r="20" spans="1:31" ht="24.75" customHeight="1">
      <c r="A20" s="86"/>
      <c r="B20" s="112">
        <f>B19+1</f>
        <v>2</v>
      </c>
      <c r="C20" s="234" t="s">
        <v>292</v>
      </c>
      <c r="D20" s="152"/>
      <c r="E20" s="133"/>
      <c r="F20" s="152"/>
      <c r="G20" s="133"/>
      <c r="H20" s="238"/>
      <c r="I20" s="131" t="s">
        <v>292</v>
      </c>
      <c r="J20" s="126"/>
      <c r="K20" s="236" t="s">
        <v>103</v>
      </c>
      <c r="L20" s="128"/>
      <c r="M20" s="239"/>
      <c r="N20" s="126"/>
      <c r="O20" s="239"/>
      <c r="P20" s="237"/>
      <c r="Q20" s="239"/>
      <c r="R20" s="237"/>
      <c r="S20" s="239"/>
      <c r="T20" s="90"/>
      <c r="V20" s="272">
        <f t="shared" si="0"/>
      </c>
      <c r="W20" s="240"/>
      <c r="X20" s="271" t="str">
        <f t="shared" si="1"/>
        <v>Yes</v>
      </c>
      <c r="Y20" s="100"/>
      <c r="Z20" s="77">
        <f>IF(X20="Yes",M20,"")</f>
        <v>0</v>
      </c>
      <c r="AA20" s="77">
        <f>IF(X20="Yes",IF(M20=0,0,(M20-O20)/12),"")</f>
        <v>0</v>
      </c>
      <c r="AB20" s="77">
        <f aca="true" t="shared" si="2" ref="AB20:AB31">IF(X20="Yes",IF(O20=0,0,(O20-Q20)/12),"")</f>
        <v>0</v>
      </c>
      <c r="AC20" s="77">
        <f aca="true" t="shared" si="3" ref="AC20:AC31">IF(X20="Yes",IF(Q20=0,0,(Q20-S20)/12),"")</f>
        <v>0</v>
      </c>
      <c r="AE20" s="4" t="s">
        <v>125</v>
      </c>
    </row>
    <row r="21" spans="1:31" ht="24.75" customHeight="1">
      <c r="A21" s="86"/>
      <c r="B21" s="112">
        <f aca="true" t="shared" si="4" ref="B21:B31">B20+1</f>
        <v>3</v>
      </c>
      <c r="C21" s="234" t="s">
        <v>292</v>
      </c>
      <c r="D21" s="152"/>
      <c r="E21" s="133"/>
      <c r="F21" s="152"/>
      <c r="G21" s="133"/>
      <c r="H21" s="238"/>
      <c r="I21" s="131" t="s">
        <v>292</v>
      </c>
      <c r="J21" s="126"/>
      <c r="K21" s="236" t="s">
        <v>103</v>
      </c>
      <c r="L21" s="128"/>
      <c r="M21" s="239"/>
      <c r="N21" s="126"/>
      <c r="O21" s="239"/>
      <c r="P21" s="237"/>
      <c r="Q21" s="239"/>
      <c r="R21" s="237"/>
      <c r="S21" s="239"/>
      <c r="T21" s="90"/>
      <c r="V21" s="272">
        <f t="shared" si="0"/>
      </c>
      <c r="W21" s="240"/>
      <c r="X21" s="271" t="str">
        <f t="shared" si="1"/>
        <v>Yes</v>
      </c>
      <c r="Y21" s="100"/>
      <c r="Z21" s="77">
        <f>IF(X21="Yes",M21,"")</f>
        <v>0</v>
      </c>
      <c r="AA21" s="77">
        <f aca="true" t="shared" si="5" ref="AA21:AA31">IF(X21="Yes",IF(M21=0,0,(M21-O21)/12),"")</f>
        <v>0</v>
      </c>
      <c r="AB21" s="77">
        <f t="shared" si="2"/>
        <v>0</v>
      </c>
      <c r="AC21" s="77">
        <f t="shared" si="3"/>
        <v>0</v>
      </c>
      <c r="AE21" s="4"/>
    </row>
    <row r="22" spans="1:29" ht="24.75" customHeight="1">
      <c r="A22" s="86"/>
      <c r="B22" s="112">
        <f t="shared" si="4"/>
        <v>4</v>
      </c>
      <c r="C22" s="234" t="s">
        <v>292</v>
      </c>
      <c r="D22" s="152"/>
      <c r="E22" s="133"/>
      <c r="F22" s="152"/>
      <c r="G22" s="133"/>
      <c r="H22" s="238"/>
      <c r="I22" s="131" t="s">
        <v>292</v>
      </c>
      <c r="J22" s="126"/>
      <c r="K22" s="236" t="s">
        <v>103</v>
      </c>
      <c r="L22" s="128"/>
      <c r="M22" s="239"/>
      <c r="N22" s="126"/>
      <c r="O22" s="239"/>
      <c r="P22" s="237"/>
      <c r="Q22" s="239"/>
      <c r="R22" s="237"/>
      <c r="S22" s="239"/>
      <c r="T22" s="90"/>
      <c r="V22" s="272">
        <f t="shared" si="0"/>
      </c>
      <c r="W22" s="240"/>
      <c r="X22" s="271" t="str">
        <f t="shared" si="1"/>
        <v>Yes</v>
      </c>
      <c r="Y22" s="100"/>
      <c r="Z22" s="77">
        <f aca="true" t="shared" si="6" ref="Z22:Z31">IF(X22="Yes",M22,"")</f>
        <v>0</v>
      </c>
      <c r="AA22" s="77">
        <f t="shared" si="5"/>
        <v>0</v>
      </c>
      <c r="AB22" s="77">
        <f t="shared" si="2"/>
        <v>0</v>
      </c>
      <c r="AC22" s="77">
        <f t="shared" si="3"/>
        <v>0</v>
      </c>
    </row>
    <row r="23" spans="1:29" ht="24.75" customHeight="1">
      <c r="A23" s="86"/>
      <c r="B23" s="112">
        <f t="shared" si="4"/>
        <v>5</v>
      </c>
      <c r="C23" s="234" t="s">
        <v>292</v>
      </c>
      <c r="D23" s="152"/>
      <c r="E23" s="133"/>
      <c r="F23" s="152"/>
      <c r="G23" s="133"/>
      <c r="H23" s="238"/>
      <c r="I23" s="131" t="s">
        <v>292</v>
      </c>
      <c r="J23" s="126"/>
      <c r="K23" s="236" t="s">
        <v>103</v>
      </c>
      <c r="L23" s="128"/>
      <c r="M23" s="239"/>
      <c r="N23" s="126"/>
      <c r="O23" s="239"/>
      <c r="P23" s="237"/>
      <c r="Q23" s="239"/>
      <c r="R23" s="237"/>
      <c r="S23" s="239"/>
      <c r="T23" s="90"/>
      <c r="V23" s="272">
        <f t="shared" si="0"/>
      </c>
      <c r="W23" s="240"/>
      <c r="X23" s="271" t="str">
        <f t="shared" si="1"/>
        <v>Yes</v>
      </c>
      <c r="Y23" s="100"/>
      <c r="Z23" s="77">
        <f t="shared" si="6"/>
        <v>0</v>
      </c>
      <c r="AA23" s="77">
        <f t="shared" si="5"/>
        <v>0</v>
      </c>
      <c r="AB23" s="77">
        <f t="shared" si="2"/>
        <v>0</v>
      </c>
      <c r="AC23" s="77">
        <f t="shared" si="3"/>
        <v>0</v>
      </c>
    </row>
    <row r="24" spans="1:29" ht="24.75" customHeight="1">
      <c r="A24" s="86"/>
      <c r="B24" s="112">
        <f t="shared" si="4"/>
        <v>6</v>
      </c>
      <c r="C24" s="234" t="s">
        <v>292</v>
      </c>
      <c r="D24" s="152"/>
      <c r="E24" s="133"/>
      <c r="F24" s="152"/>
      <c r="G24" s="133"/>
      <c r="H24" s="238"/>
      <c r="I24" s="131" t="s">
        <v>292</v>
      </c>
      <c r="J24" s="126"/>
      <c r="K24" s="236" t="s">
        <v>103</v>
      </c>
      <c r="L24" s="128"/>
      <c r="M24" s="239"/>
      <c r="N24" s="126"/>
      <c r="O24" s="239"/>
      <c r="P24" s="237"/>
      <c r="Q24" s="239"/>
      <c r="R24" s="237"/>
      <c r="S24" s="239"/>
      <c r="T24" s="90"/>
      <c r="V24" s="272">
        <f t="shared" si="0"/>
      </c>
      <c r="W24" s="240"/>
      <c r="X24" s="271" t="str">
        <f t="shared" si="1"/>
        <v>Yes</v>
      </c>
      <c r="Y24" s="100"/>
      <c r="Z24" s="77">
        <f t="shared" si="6"/>
        <v>0</v>
      </c>
      <c r="AA24" s="77">
        <f t="shared" si="5"/>
        <v>0</v>
      </c>
      <c r="AB24" s="77">
        <f t="shared" si="2"/>
        <v>0</v>
      </c>
      <c r="AC24" s="77">
        <f t="shared" si="3"/>
        <v>0</v>
      </c>
    </row>
    <row r="25" spans="1:29" ht="24.75" customHeight="1">
      <c r="A25" s="86"/>
      <c r="B25" s="112">
        <f t="shared" si="4"/>
        <v>7</v>
      </c>
      <c r="C25" s="234" t="s">
        <v>292</v>
      </c>
      <c r="D25" s="152"/>
      <c r="E25" s="133"/>
      <c r="F25" s="152"/>
      <c r="G25" s="133"/>
      <c r="H25" s="238"/>
      <c r="I25" s="131" t="s">
        <v>292</v>
      </c>
      <c r="J25" s="126"/>
      <c r="K25" s="236" t="s">
        <v>103</v>
      </c>
      <c r="L25" s="128"/>
      <c r="M25" s="239"/>
      <c r="N25" s="126"/>
      <c r="O25" s="239"/>
      <c r="P25" s="237"/>
      <c r="Q25" s="239"/>
      <c r="R25" s="237"/>
      <c r="S25" s="239"/>
      <c r="T25" s="90"/>
      <c r="V25" s="272">
        <f t="shared" si="0"/>
      </c>
      <c r="W25" s="240"/>
      <c r="X25" s="271" t="str">
        <f t="shared" si="1"/>
        <v>Yes</v>
      </c>
      <c r="Y25" s="100"/>
      <c r="Z25" s="77">
        <f t="shared" si="6"/>
        <v>0</v>
      </c>
      <c r="AA25" s="77">
        <f t="shared" si="5"/>
        <v>0</v>
      </c>
      <c r="AB25" s="77">
        <f t="shared" si="2"/>
        <v>0</v>
      </c>
      <c r="AC25" s="77">
        <f t="shared" si="3"/>
        <v>0</v>
      </c>
    </row>
    <row r="26" spans="1:29" ht="24.75" customHeight="1">
      <c r="A26" s="86"/>
      <c r="B26" s="112">
        <f t="shared" si="4"/>
        <v>8</v>
      </c>
      <c r="C26" s="234" t="s">
        <v>292</v>
      </c>
      <c r="D26" s="152"/>
      <c r="E26" s="133"/>
      <c r="F26" s="152"/>
      <c r="G26" s="133"/>
      <c r="H26" s="238"/>
      <c r="I26" s="131" t="s">
        <v>292</v>
      </c>
      <c r="J26" s="126"/>
      <c r="K26" s="236" t="s">
        <v>103</v>
      </c>
      <c r="L26" s="128"/>
      <c r="M26" s="239"/>
      <c r="N26" s="126"/>
      <c r="O26" s="239"/>
      <c r="P26" s="237"/>
      <c r="Q26" s="239"/>
      <c r="R26" s="237"/>
      <c r="S26" s="239"/>
      <c r="T26" s="90"/>
      <c r="V26" s="272">
        <f t="shared" si="0"/>
      </c>
      <c r="W26" s="240"/>
      <c r="X26" s="271" t="str">
        <f t="shared" si="1"/>
        <v>Yes</v>
      </c>
      <c r="Y26" s="100"/>
      <c r="Z26" s="77">
        <f t="shared" si="6"/>
        <v>0</v>
      </c>
      <c r="AA26" s="77">
        <f t="shared" si="5"/>
        <v>0</v>
      </c>
      <c r="AB26" s="77">
        <f t="shared" si="2"/>
        <v>0</v>
      </c>
      <c r="AC26" s="77">
        <f t="shared" si="3"/>
        <v>0</v>
      </c>
    </row>
    <row r="27" spans="1:29" ht="24.75" customHeight="1">
      <c r="A27" s="86"/>
      <c r="B27" s="112">
        <f t="shared" si="4"/>
        <v>9</v>
      </c>
      <c r="C27" s="234" t="s">
        <v>292</v>
      </c>
      <c r="D27" s="152"/>
      <c r="E27" s="133"/>
      <c r="F27" s="152"/>
      <c r="G27" s="133"/>
      <c r="H27" s="238"/>
      <c r="I27" s="131" t="s">
        <v>292</v>
      </c>
      <c r="J27" s="126"/>
      <c r="K27" s="236" t="s">
        <v>103</v>
      </c>
      <c r="L27" s="128"/>
      <c r="M27" s="239"/>
      <c r="N27" s="128"/>
      <c r="O27" s="239"/>
      <c r="P27" s="237"/>
      <c r="Q27" s="239"/>
      <c r="R27" s="237"/>
      <c r="S27" s="239"/>
      <c r="T27" s="90"/>
      <c r="V27" s="272">
        <f t="shared" si="0"/>
      </c>
      <c r="W27" s="240"/>
      <c r="X27" s="271" t="str">
        <f t="shared" si="1"/>
        <v>Yes</v>
      </c>
      <c r="Y27" s="100"/>
      <c r="Z27" s="77">
        <f t="shared" si="6"/>
        <v>0</v>
      </c>
      <c r="AA27" s="77">
        <f t="shared" si="5"/>
        <v>0</v>
      </c>
      <c r="AB27" s="77">
        <f t="shared" si="2"/>
        <v>0</v>
      </c>
      <c r="AC27" s="77">
        <f t="shared" si="3"/>
        <v>0</v>
      </c>
    </row>
    <row r="28" spans="1:29" ht="24.75" customHeight="1">
      <c r="A28" s="86"/>
      <c r="B28" s="112">
        <f t="shared" si="4"/>
        <v>10</v>
      </c>
      <c r="C28" s="234" t="s">
        <v>292</v>
      </c>
      <c r="D28" s="152"/>
      <c r="E28" s="133"/>
      <c r="F28" s="152"/>
      <c r="G28" s="133"/>
      <c r="H28" s="238"/>
      <c r="I28" s="131" t="s">
        <v>292</v>
      </c>
      <c r="J28" s="126"/>
      <c r="K28" s="236" t="s">
        <v>103</v>
      </c>
      <c r="L28" s="128"/>
      <c r="M28" s="239"/>
      <c r="N28" s="126"/>
      <c r="O28" s="239"/>
      <c r="P28" s="237"/>
      <c r="Q28" s="239"/>
      <c r="R28" s="237"/>
      <c r="S28" s="239"/>
      <c r="T28" s="90"/>
      <c r="V28" s="272">
        <f t="shared" si="0"/>
      </c>
      <c r="W28" s="240"/>
      <c r="X28" s="271" t="str">
        <f t="shared" si="1"/>
        <v>Yes</v>
      </c>
      <c r="Y28" s="100"/>
      <c r="Z28" s="77">
        <f t="shared" si="6"/>
        <v>0</v>
      </c>
      <c r="AA28" s="77">
        <f t="shared" si="5"/>
        <v>0</v>
      </c>
      <c r="AB28" s="77">
        <f t="shared" si="2"/>
        <v>0</v>
      </c>
      <c r="AC28" s="77">
        <f t="shared" si="3"/>
        <v>0</v>
      </c>
    </row>
    <row r="29" spans="1:29" ht="24.75" customHeight="1">
      <c r="A29" s="86"/>
      <c r="B29" s="112">
        <f t="shared" si="4"/>
        <v>11</v>
      </c>
      <c r="C29" s="234" t="s">
        <v>292</v>
      </c>
      <c r="D29" s="152"/>
      <c r="E29" s="133"/>
      <c r="F29" s="152"/>
      <c r="G29" s="133"/>
      <c r="H29" s="238"/>
      <c r="I29" s="131" t="s">
        <v>292</v>
      </c>
      <c r="J29" s="126"/>
      <c r="K29" s="236" t="s">
        <v>103</v>
      </c>
      <c r="L29" s="128"/>
      <c r="M29" s="239"/>
      <c r="N29" s="126"/>
      <c r="O29" s="239"/>
      <c r="P29" s="237"/>
      <c r="Q29" s="239"/>
      <c r="R29" s="237"/>
      <c r="S29" s="239"/>
      <c r="T29" s="90"/>
      <c r="V29" s="272">
        <f t="shared" si="0"/>
      </c>
      <c r="W29" s="240"/>
      <c r="X29" s="271" t="str">
        <f t="shared" si="1"/>
        <v>Yes</v>
      </c>
      <c r="Y29" s="100"/>
      <c r="Z29" s="77">
        <f t="shared" si="6"/>
        <v>0</v>
      </c>
      <c r="AA29" s="77">
        <f t="shared" si="5"/>
        <v>0</v>
      </c>
      <c r="AB29" s="77">
        <f t="shared" si="2"/>
        <v>0</v>
      </c>
      <c r="AC29" s="77">
        <f t="shared" si="3"/>
        <v>0</v>
      </c>
    </row>
    <row r="30" spans="1:29" ht="24.75" customHeight="1">
      <c r="A30" s="86"/>
      <c r="B30" s="112">
        <f t="shared" si="4"/>
        <v>12</v>
      </c>
      <c r="C30" s="234" t="s">
        <v>292</v>
      </c>
      <c r="D30" s="152"/>
      <c r="E30" s="133"/>
      <c r="F30" s="152"/>
      <c r="G30" s="133"/>
      <c r="H30" s="238"/>
      <c r="I30" s="131" t="s">
        <v>292</v>
      </c>
      <c r="J30" s="126"/>
      <c r="K30" s="236" t="s">
        <v>103</v>
      </c>
      <c r="L30" s="128"/>
      <c r="M30" s="239"/>
      <c r="N30" s="126"/>
      <c r="O30" s="239"/>
      <c r="P30" s="237"/>
      <c r="Q30" s="239"/>
      <c r="R30" s="237"/>
      <c r="S30" s="239"/>
      <c r="T30" s="90"/>
      <c r="V30" s="272">
        <f t="shared" si="0"/>
      </c>
      <c r="W30" s="240"/>
      <c r="X30" s="271" t="str">
        <f t="shared" si="1"/>
        <v>Yes</v>
      </c>
      <c r="Y30" s="100"/>
      <c r="Z30" s="77">
        <f t="shared" si="6"/>
        <v>0</v>
      </c>
      <c r="AA30" s="77">
        <f t="shared" si="5"/>
        <v>0</v>
      </c>
      <c r="AB30" s="77">
        <f t="shared" si="2"/>
        <v>0</v>
      </c>
      <c r="AC30" s="77">
        <f t="shared" si="3"/>
        <v>0</v>
      </c>
    </row>
    <row r="31" spans="1:29" ht="24.75" customHeight="1">
      <c r="A31" s="86"/>
      <c r="B31" s="112">
        <f t="shared" si="4"/>
        <v>13</v>
      </c>
      <c r="C31" s="234" t="s">
        <v>292</v>
      </c>
      <c r="D31" s="152"/>
      <c r="E31" s="133"/>
      <c r="F31" s="152"/>
      <c r="G31" s="133"/>
      <c r="H31" s="238"/>
      <c r="I31" s="131" t="s">
        <v>292</v>
      </c>
      <c r="J31" s="126"/>
      <c r="K31" s="236" t="s">
        <v>103</v>
      </c>
      <c r="L31" s="128"/>
      <c r="M31" s="239"/>
      <c r="N31" s="126"/>
      <c r="O31" s="239"/>
      <c r="P31" s="237"/>
      <c r="Q31" s="239"/>
      <c r="R31" s="237"/>
      <c r="S31" s="239"/>
      <c r="T31" s="90"/>
      <c r="V31" s="272">
        <f t="shared" si="0"/>
      </c>
      <c r="W31" s="272"/>
      <c r="X31" s="271" t="str">
        <f t="shared" si="1"/>
        <v>Yes</v>
      </c>
      <c r="Y31" s="100"/>
      <c r="Z31" s="77">
        <f t="shared" si="6"/>
        <v>0</v>
      </c>
      <c r="AA31" s="77">
        <f t="shared" si="5"/>
        <v>0</v>
      </c>
      <c r="AB31" s="77">
        <f t="shared" si="2"/>
        <v>0</v>
      </c>
      <c r="AC31" s="77">
        <f t="shared" si="3"/>
        <v>0</v>
      </c>
    </row>
    <row r="32" spans="1:25" ht="12.75">
      <c r="A32" s="86"/>
      <c r="B32" s="100"/>
      <c r="C32" s="100"/>
      <c r="D32" s="100"/>
      <c r="E32" s="100"/>
      <c r="F32" s="100"/>
      <c r="G32" s="100"/>
      <c r="H32" s="100"/>
      <c r="I32" s="100"/>
      <c r="J32" s="100"/>
      <c r="K32" s="115"/>
      <c r="L32" s="100"/>
      <c r="M32" s="241"/>
      <c r="N32" s="100"/>
      <c r="O32" s="115"/>
      <c r="P32" s="115"/>
      <c r="Q32" s="100"/>
      <c r="R32" s="115"/>
      <c r="S32" s="100"/>
      <c r="T32" s="90"/>
      <c r="V32" s="100"/>
      <c r="W32" s="100"/>
      <c r="X32" s="115"/>
      <c r="Y32" s="100"/>
    </row>
    <row r="33" spans="1:58" ht="13.5" thickBot="1">
      <c r="A33" s="86"/>
      <c r="B33" s="100"/>
      <c r="C33" s="242" t="s">
        <v>294</v>
      </c>
      <c r="D33" s="242"/>
      <c r="E33" s="242"/>
      <c r="F33" s="242"/>
      <c r="G33" s="242"/>
      <c r="H33" s="242"/>
      <c r="I33" s="242"/>
      <c r="J33" s="242"/>
      <c r="K33" s="115"/>
      <c r="L33" s="100"/>
      <c r="M33" s="141">
        <f>SUM(M19:M31)</f>
        <v>0</v>
      </c>
      <c r="N33" s="100"/>
      <c r="O33" s="141">
        <f>SUM(O19:O31)</f>
        <v>0</v>
      </c>
      <c r="P33" s="115"/>
      <c r="Q33" s="141">
        <f>SUM(Q19:Q31)</f>
        <v>0</v>
      </c>
      <c r="R33" s="115"/>
      <c r="S33" s="311">
        <f>SUM(S19:S31)</f>
        <v>0</v>
      </c>
      <c r="T33" s="90"/>
      <c r="V33" s="100"/>
      <c r="W33" s="100"/>
      <c r="X33" s="115"/>
      <c r="Y33" s="100"/>
      <c r="Z33" s="311">
        <f>SUM(Z19:Z31)</f>
        <v>0</v>
      </c>
      <c r="AA33" s="141">
        <f>SUM(AA19:AA31)</f>
        <v>0</v>
      </c>
      <c r="AB33" s="141">
        <f>SUM(AB19:AB31)</f>
        <v>0</v>
      </c>
      <c r="AC33" s="311">
        <f>SUM(AC19:AC31)</f>
        <v>0</v>
      </c>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row>
    <row r="34" spans="1:58" ht="13.5" thickTop="1">
      <c r="A34" s="366"/>
      <c r="B34" s="100"/>
      <c r="C34" s="242"/>
      <c r="D34" s="242"/>
      <c r="E34" s="242"/>
      <c r="F34" s="242"/>
      <c r="G34" s="242"/>
      <c r="H34" s="242"/>
      <c r="I34" s="242"/>
      <c r="J34" s="242"/>
      <c r="K34" s="115"/>
      <c r="L34" s="100"/>
      <c r="M34" s="367"/>
      <c r="N34" s="100"/>
      <c r="O34" s="367"/>
      <c r="P34" s="115"/>
      <c r="Q34" s="367"/>
      <c r="R34" s="115"/>
      <c r="S34" s="367"/>
      <c r="T34" s="368"/>
      <c r="V34" s="100"/>
      <c r="W34" s="100"/>
      <c r="X34" s="115"/>
      <c r="Y34" s="100"/>
      <c r="Z34" s="143"/>
      <c r="AA34" s="143"/>
      <c r="AB34" s="143"/>
      <c r="AC34" s="143"/>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row>
    <row r="35" spans="1:58" ht="13.5" thickTop="1">
      <c r="A35" s="366"/>
      <c r="B35" s="100"/>
      <c r="C35" s="242" t="s">
        <v>1</v>
      </c>
      <c r="D35" s="242"/>
      <c r="E35" s="242"/>
      <c r="F35" s="242"/>
      <c r="G35" s="242"/>
      <c r="H35" s="242"/>
      <c r="I35" s="242"/>
      <c r="J35" s="242"/>
      <c r="K35" s="115"/>
      <c r="L35" s="100"/>
      <c r="M35" s="367">
        <f>Z33</f>
        <v>0</v>
      </c>
      <c r="N35" s="100"/>
      <c r="O35" s="367">
        <f>M35-AA33*12</f>
        <v>0</v>
      </c>
      <c r="P35" s="115"/>
      <c r="Q35" s="367">
        <f>O35-AB33*12</f>
        <v>0</v>
      </c>
      <c r="R35" s="115"/>
      <c r="S35" s="367">
        <f>Q35-AC33*12</f>
        <v>0</v>
      </c>
      <c r="T35" s="368"/>
      <c r="V35" s="100"/>
      <c r="W35" s="100"/>
      <c r="X35" s="115"/>
      <c r="Y35" s="100"/>
      <c r="Z35" s="143"/>
      <c r="AA35" s="143"/>
      <c r="AB35" s="143"/>
      <c r="AC35" s="143"/>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row>
    <row r="36" spans="1:58" ht="13.5" thickTop="1">
      <c r="A36" s="366"/>
      <c r="B36" s="100"/>
      <c r="C36" s="242"/>
      <c r="D36" s="242"/>
      <c r="E36" s="242"/>
      <c r="F36" s="242"/>
      <c r="G36" s="242"/>
      <c r="H36" s="242"/>
      <c r="I36" s="242"/>
      <c r="J36" s="242"/>
      <c r="K36" s="115"/>
      <c r="L36" s="100"/>
      <c r="M36" s="367"/>
      <c r="N36" s="100"/>
      <c r="O36" s="367"/>
      <c r="P36" s="115"/>
      <c r="Q36" s="367"/>
      <c r="R36" s="115"/>
      <c r="S36" s="367"/>
      <c r="T36" s="368"/>
      <c r="V36" s="100"/>
      <c r="W36" s="100"/>
      <c r="X36" s="115"/>
      <c r="Y36" s="100"/>
      <c r="Z36" s="143"/>
      <c r="AA36" s="143"/>
      <c r="AB36" s="143"/>
      <c r="AC36" s="143"/>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row>
    <row r="37" spans="1:58" ht="12.75">
      <c r="A37" s="366"/>
      <c r="B37" s="100"/>
      <c r="C37" s="242" t="s">
        <v>2</v>
      </c>
      <c r="D37" s="242"/>
      <c r="E37" s="242"/>
      <c r="F37" s="242"/>
      <c r="G37" s="242"/>
      <c r="H37" s="242"/>
      <c r="I37" s="242"/>
      <c r="J37" s="242"/>
      <c r="K37" s="115"/>
      <c r="L37" s="100"/>
      <c r="M37" s="367">
        <f>SUMIF($K$19:$K$31,"yes",M19:M31)</f>
        <v>0</v>
      </c>
      <c r="N37" s="100"/>
      <c r="O37" s="367">
        <f>SUMIF($K$19:$K$31,"yes",O19:O31)</f>
        <v>0</v>
      </c>
      <c r="P37" s="115"/>
      <c r="Q37" s="367">
        <f>SUMIF($K$19:$K$31,"yes",Q19:Q31)</f>
        <v>0</v>
      </c>
      <c r="R37" s="115"/>
      <c r="S37" s="367">
        <f>SUMIF($K$19:$K$31,"yes",S19:S31)</f>
        <v>0</v>
      </c>
      <c r="T37" s="368"/>
      <c r="V37" s="100"/>
      <c r="W37" s="100"/>
      <c r="X37" s="115"/>
      <c r="Y37" s="100"/>
      <c r="Z37" s="143"/>
      <c r="AA37" s="143"/>
      <c r="AB37" s="143"/>
      <c r="AC37" s="143"/>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row>
    <row r="38" spans="1:58" ht="12.75" hidden="1">
      <c r="A38" s="366"/>
      <c r="B38" s="100"/>
      <c r="C38" s="242"/>
      <c r="D38" s="242"/>
      <c r="E38" s="242"/>
      <c r="F38" s="242"/>
      <c r="G38" s="242"/>
      <c r="H38" s="242"/>
      <c r="I38" s="242"/>
      <c r="J38" s="242"/>
      <c r="K38" s="115"/>
      <c r="L38" s="100"/>
      <c r="M38" s="367"/>
      <c r="N38" s="100"/>
      <c r="O38" s="367"/>
      <c r="P38" s="115"/>
      <c r="Q38" s="367"/>
      <c r="R38" s="115"/>
      <c r="S38" s="367"/>
      <c r="T38" s="368"/>
      <c r="V38" s="100"/>
      <c r="W38" s="100"/>
      <c r="X38" s="115"/>
      <c r="Y38" s="100"/>
      <c r="Z38" s="143"/>
      <c r="AA38" s="143"/>
      <c r="AB38" s="143"/>
      <c r="AC38" s="143"/>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row>
    <row r="39" spans="1:58" ht="13.5" hidden="1" thickTop="1">
      <c r="A39" s="366"/>
      <c r="B39" s="100"/>
      <c r="C39" s="242"/>
      <c r="D39" s="242"/>
      <c r="E39" s="242"/>
      <c r="F39" s="242"/>
      <c r="G39" s="242"/>
      <c r="H39" s="242"/>
      <c r="I39" s="242"/>
      <c r="J39" s="242"/>
      <c r="K39" s="115"/>
      <c r="L39" s="100"/>
      <c r="M39" s="367"/>
      <c r="N39" s="100"/>
      <c r="O39" s="367"/>
      <c r="P39" s="115"/>
      <c r="Q39" s="367"/>
      <c r="R39" s="115"/>
      <c r="S39" s="367"/>
      <c r="T39" s="368"/>
      <c r="V39" s="100"/>
      <c r="W39" s="100"/>
      <c r="X39" s="115"/>
      <c r="Y39" s="100"/>
      <c r="Z39" s="143"/>
      <c r="AA39" s="143"/>
      <c r="AB39" s="143"/>
      <c r="AC39" s="143"/>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row>
    <row r="40" spans="1:58" ht="13.5" hidden="1" thickTop="1">
      <c r="A40" s="366"/>
      <c r="B40" s="100"/>
      <c r="C40" s="242"/>
      <c r="D40" s="242"/>
      <c r="E40" s="242"/>
      <c r="F40" s="242"/>
      <c r="G40" s="242"/>
      <c r="H40" s="242"/>
      <c r="I40" s="242"/>
      <c r="J40" s="242"/>
      <c r="K40" s="115"/>
      <c r="L40" s="100"/>
      <c r="M40" s="367"/>
      <c r="N40" s="100"/>
      <c r="O40" s="367"/>
      <c r="P40" s="115"/>
      <c r="Q40" s="367"/>
      <c r="R40" s="115"/>
      <c r="S40" s="367"/>
      <c r="T40" s="368"/>
      <c r="V40" s="100"/>
      <c r="W40" s="100"/>
      <c r="X40" s="115"/>
      <c r="Y40" s="100"/>
      <c r="Z40" s="143"/>
      <c r="AA40" s="143"/>
      <c r="AB40" s="143"/>
      <c r="AC40" s="143"/>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row>
    <row r="41" spans="1:58" ht="13.5" hidden="1" thickTop="1">
      <c r="A41" s="366"/>
      <c r="B41" s="100"/>
      <c r="C41" s="242"/>
      <c r="D41" s="242"/>
      <c r="E41" s="242"/>
      <c r="F41" s="242"/>
      <c r="G41" s="242"/>
      <c r="H41" s="242"/>
      <c r="I41" s="242"/>
      <c r="J41" s="242"/>
      <c r="K41" s="115"/>
      <c r="L41" s="100"/>
      <c r="M41" s="367"/>
      <c r="N41" s="100"/>
      <c r="O41" s="367"/>
      <c r="P41" s="115"/>
      <c r="Q41" s="367"/>
      <c r="R41" s="115"/>
      <c r="S41" s="367"/>
      <c r="T41" s="368"/>
      <c r="V41" s="100"/>
      <c r="W41" s="100"/>
      <c r="X41" s="115"/>
      <c r="Y41" s="100"/>
      <c r="Z41" s="143"/>
      <c r="AA41" s="143"/>
      <c r="AB41" s="143"/>
      <c r="AC41" s="143"/>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row>
    <row r="42" spans="1:58" ht="13.5" hidden="1" thickTop="1">
      <c r="A42" s="366"/>
      <c r="B42" s="100"/>
      <c r="C42" s="242"/>
      <c r="D42" s="242"/>
      <c r="E42" s="242"/>
      <c r="F42" s="242"/>
      <c r="G42" s="242"/>
      <c r="H42" s="242"/>
      <c r="I42" s="242"/>
      <c r="J42" s="242"/>
      <c r="K42" s="115"/>
      <c r="L42" s="100"/>
      <c r="M42" s="367"/>
      <c r="N42" s="100"/>
      <c r="O42" s="367"/>
      <c r="P42" s="115"/>
      <c r="Q42" s="367"/>
      <c r="R42" s="115"/>
      <c r="S42" s="367"/>
      <c r="T42" s="368"/>
      <c r="V42" s="100"/>
      <c r="W42" s="100"/>
      <c r="X42" s="115"/>
      <c r="Y42" s="100"/>
      <c r="Z42" s="143"/>
      <c r="AA42" s="143"/>
      <c r="AB42" s="143"/>
      <c r="AC42" s="143"/>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row>
    <row r="43" spans="1:58" ht="13.5" hidden="1" thickTop="1">
      <c r="A43" s="366"/>
      <c r="B43" s="100"/>
      <c r="C43" s="242"/>
      <c r="D43" s="242"/>
      <c r="E43" s="242"/>
      <c r="F43" s="242"/>
      <c r="G43" s="242"/>
      <c r="H43" s="242"/>
      <c r="I43" s="242"/>
      <c r="J43" s="242"/>
      <c r="K43" s="115"/>
      <c r="L43" s="100"/>
      <c r="M43" s="367"/>
      <c r="N43" s="100"/>
      <c r="O43" s="367"/>
      <c r="P43" s="115"/>
      <c r="Q43" s="367"/>
      <c r="R43" s="115"/>
      <c r="S43" s="367"/>
      <c r="T43" s="368"/>
      <c r="V43" s="100"/>
      <c r="W43" s="100"/>
      <c r="X43" s="115"/>
      <c r="Y43" s="100"/>
      <c r="Z43" s="143"/>
      <c r="AA43" s="143"/>
      <c r="AB43" s="143"/>
      <c r="AC43" s="143"/>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row>
    <row r="44" spans="1:58" ht="13.5" hidden="1" thickTop="1">
      <c r="A44" s="366"/>
      <c r="B44" s="100"/>
      <c r="C44" s="242"/>
      <c r="D44" s="242"/>
      <c r="E44" s="242"/>
      <c r="F44" s="242"/>
      <c r="G44" s="242"/>
      <c r="H44" s="242"/>
      <c r="I44" s="242"/>
      <c r="J44" s="242"/>
      <c r="K44" s="115"/>
      <c r="L44" s="100"/>
      <c r="M44" s="367"/>
      <c r="N44" s="100"/>
      <c r="O44" s="367"/>
      <c r="P44" s="115"/>
      <c r="Q44" s="367"/>
      <c r="R44" s="115"/>
      <c r="S44" s="367"/>
      <c r="T44" s="368"/>
      <c r="V44" s="100"/>
      <c r="W44" s="100"/>
      <c r="X44" s="115"/>
      <c r="Y44" s="100"/>
      <c r="Z44" s="143"/>
      <c r="AA44" s="143"/>
      <c r="AB44" s="143"/>
      <c r="AC44" s="143"/>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row>
    <row r="45" spans="1:58" ht="13.5" hidden="1" thickTop="1">
      <c r="A45" s="366"/>
      <c r="B45" s="100"/>
      <c r="C45" s="242"/>
      <c r="D45" s="242"/>
      <c r="E45" s="242"/>
      <c r="F45" s="242"/>
      <c r="G45" s="242"/>
      <c r="H45" s="242"/>
      <c r="I45" s="242"/>
      <c r="J45" s="242"/>
      <c r="K45" s="115"/>
      <c r="L45" s="100"/>
      <c r="M45" s="367"/>
      <c r="N45" s="100"/>
      <c r="O45" s="367"/>
      <c r="P45" s="115"/>
      <c r="Q45" s="367"/>
      <c r="R45" s="115"/>
      <c r="S45" s="367"/>
      <c r="T45" s="368"/>
      <c r="V45" s="100"/>
      <c r="W45" s="100"/>
      <c r="X45" s="115"/>
      <c r="Y45" s="100"/>
      <c r="Z45" s="143"/>
      <c r="AA45" s="143"/>
      <c r="AB45" s="143"/>
      <c r="AC45" s="143"/>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row>
    <row r="46" spans="1:58" ht="13.5" hidden="1" thickTop="1">
      <c r="A46" s="366"/>
      <c r="B46" s="100"/>
      <c r="C46" s="242"/>
      <c r="D46" s="242"/>
      <c r="E46" s="242"/>
      <c r="F46" s="242"/>
      <c r="G46" s="242"/>
      <c r="H46" s="242"/>
      <c r="I46" s="242"/>
      <c r="J46" s="242"/>
      <c r="K46" s="115"/>
      <c r="L46" s="100"/>
      <c r="M46" s="367"/>
      <c r="N46" s="100"/>
      <c r="O46" s="367"/>
      <c r="P46" s="115"/>
      <c r="Q46" s="367"/>
      <c r="R46" s="115"/>
      <c r="S46" s="367"/>
      <c r="T46" s="368"/>
      <c r="V46" s="100"/>
      <c r="W46" s="100"/>
      <c r="X46" s="115"/>
      <c r="Y46" s="100"/>
      <c r="Z46" s="143"/>
      <c r="AA46" s="143"/>
      <c r="AB46" s="143"/>
      <c r="AC46" s="143"/>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row>
    <row r="47" spans="1:58" ht="13.5" hidden="1" thickTop="1">
      <c r="A47" s="366"/>
      <c r="B47" s="100"/>
      <c r="C47" s="242"/>
      <c r="D47" s="242"/>
      <c r="E47" s="242"/>
      <c r="F47" s="242"/>
      <c r="G47" s="242"/>
      <c r="H47" s="242"/>
      <c r="I47" s="242"/>
      <c r="J47" s="242"/>
      <c r="K47" s="115"/>
      <c r="L47" s="100"/>
      <c r="M47" s="367"/>
      <c r="N47" s="100"/>
      <c r="O47" s="367"/>
      <c r="P47" s="115"/>
      <c r="Q47" s="367"/>
      <c r="R47" s="115"/>
      <c r="S47" s="367"/>
      <c r="T47" s="368"/>
      <c r="V47" s="100"/>
      <c r="W47" s="100"/>
      <c r="X47" s="115"/>
      <c r="Y47" s="100"/>
      <c r="Z47" s="143"/>
      <c r="AA47" s="143"/>
      <c r="AB47" s="143"/>
      <c r="AC47" s="143"/>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row>
    <row r="48" spans="1:58" ht="13.5" hidden="1" thickTop="1">
      <c r="A48" s="366"/>
      <c r="B48" s="100"/>
      <c r="C48" s="242"/>
      <c r="D48" s="242"/>
      <c r="E48" s="242"/>
      <c r="F48" s="242"/>
      <c r="G48" s="242"/>
      <c r="H48" s="242"/>
      <c r="I48" s="242"/>
      <c r="J48" s="242"/>
      <c r="K48" s="115"/>
      <c r="L48" s="100"/>
      <c r="M48" s="367"/>
      <c r="N48" s="100"/>
      <c r="O48" s="367"/>
      <c r="P48" s="115"/>
      <c r="Q48" s="367"/>
      <c r="R48" s="115"/>
      <c r="S48" s="367"/>
      <c r="T48" s="368"/>
      <c r="V48" s="100"/>
      <c r="W48" s="100"/>
      <c r="X48" s="115"/>
      <c r="Y48" s="100"/>
      <c r="Z48" s="143"/>
      <c r="AA48" s="143"/>
      <c r="AB48" s="143"/>
      <c r="AC48" s="143"/>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row>
    <row r="49" spans="1:58" ht="13.5" hidden="1" thickTop="1">
      <c r="A49" s="366"/>
      <c r="B49" s="100"/>
      <c r="C49" s="242"/>
      <c r="D49" s="242"/>
      <c r="E49" s="242"/>
      <c r="F49" s="242"/>
      <c r="G49" s="242"/>
      <c r="H49" s="242"/>
      <c r="I49" s="242"/>
      <c r="J49" s="242"/>
      <c r="K49" s="115"/>
      <c r="L49" s="100"/>
      <c r="M49" s="367"/>
      <c r="N49" s="100"/>
      <c r="O49" s="367"/>
      <c r="P49" s="115"/>
      <c r="Q49" s="367"/>
      <c r="R49" s="115"/>
      <c r="S49" s="367"/>
      <c r="T49" s="368"/>
      <c r="V49" s="100"/>
      <c r="W49" s="100"/>
      <c r="X49" s="115"/>
      <c r="Y49" s="100"/>
      <c r="Z49" s="143"/>
      <c r="AA49" s="143"/>
      <c r="AB49" s="143"/>
      <c r="AC49" s="143"/>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row>
    <row r="50" spans="1:58" ht="13.5" hidden="1" thickTop="1">
      <c r="A50" s="366"/>
      <c r="B50" s="100"/>
      <c r="C50" s="242"/>
      <c r="D50" s="242"/>
      <c r="E50" s="242"/>
      <c r="F50" s="242"/>
      <c r="G50" s="242"/>
      <c r="H50" s="242"/>
      <c r="I50" s="242"/>
      <c r="J50" s="242"/>
      <c r="K50" s="115"/>
      <c r="L50" s="100"/>
      <c r="M50" s="367"/>
      <c r="N50" s="100"/>
      <c r="O50" s="367"/>
      <c r="P50" s="115"/>
      <c r="Q50" s="367"/>
      <c r="R50" s="115"/>
      <c r="S50" s="367"/>
      <c r="T50" s="368"/>
      <c r="V50" s="100"/>
      <c r="W50" s="100"/>
      <c r="X50" s="115"/>
      <c r="Y50" s="100"/>
      <c r="Z50" s="143"/>
      <c r="AA50" s="143"/>
      <c r="AB50" s="143"/>
      <c r="AC50" s="143"/>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row>
    <row r="51" spans="1:58" ht="13.5" thickBot="1">
      <c r="A51" s="144"/>
      <c r="B51" s="145"/>
      <c r="C51" s="145"/>
      <c r="D51" s="145"/>
      <c r="E51" s="145"/>
      <c r="F51" s="145"/>
      <c r="G51" s="145"/>
      <c r="H51" s="145"/>
      <c r="I51" s="145"/>
      <c r="J51" s="145"/>
      <c r="K51" s="145"/>
      <c r="L51" s="145"/>
      <c r="M51" s="145"/>
      <c r="N51" s="145"/>
      <c r="O51" s="145"/>
      <c r="P51" s="145"/>
      <c r="Q51" s="145"/>
      <c r="R51" s="145"/>
      <c r="S51" s="145"/>
      <c r="T51" s="146"/>
      <c r="X51" s="145"/>
      <c r="Y51" s="145"/>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row>
    <row r="52" spans="30:58" ht="12.75">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row>
    <row r="53" spans="30:58" ht="12.75" hidden="1">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row>
    <row r="54" spans="30:58" ht="12.75" hidden="1">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row>
    <row r="55" spans="22:58" ht="12.75" hidden="1">
      <c r="V55" s="77" t="s">
        <v>292</v>
      </c>
      <c r="X55" s="77" t="s">
        <v>122</v>
      </c>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row>
    <row r="56" spans="15:58" ht="12.75" hidden="1">
      <c r="O56" s="77">
        <f>SUMIF($V$19:$V$31,$V56,O$19:O$31)</f>
        <v>0</v>
      </c>
      <c r="Q56" s="77">
        <f>SUMIF($V$19:$V$31,$V56,Q$19:Q$31)</f>
        <v>0</v>
      </c>
      <c r="S56" s="77">
        <f>SUMIF($V$19:$V$31,$V56,S$19:S$31)</f>
        <v>0</v>
      </c>
      <c r="V56" s="77" t="s">
        <v>174</v>
      </c>
      <c r="X56" s="77" t="s">
        <v>250</v>
      </c>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row>
    <row r="57" spans="15:58" ht="12.75" hidden="1">
      <c r="O57" s="77">
        <f aca="true" t="shared" si="7" ref="O57:S63">SUMIF($V$19:$V$31,$V57,O$19:O$31)</f>
        <v>0</v>
      </c>
      <c r="Q57" s="77">
        <f t="shared" si="7"/>
        <v>0</v>
      </c>
      <c r="S57" s="77">
        <f t="shared" si="7"/>
        <v>0</v>
      </c>
      <c r="V57" s="77" t="s">
        <v>175</v>
      </c>
      <c r="X57" s="77" t="s">
        <v>156</v>
      </c>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row>
    <row r="58" spans="15:58" ht="12.75" hidden="1">
      <c r="O58" s="77">
        <f t="shared" si="7"/>
        <v>0</v>
      </c>
      <c r="Q58" s="77">
        <f t="shared" si="7"/>
        <v>0</v>
      </c>
      <c r="S58" s="77">
        <f t="shared" si="7"/>
        <v>0</v>
      </c>
      <c r="V58" s="77" t="s">
        <v>179</v>
      </c>
      <c r="X58" s="77" t="s">
        <v>108</v>
      </c>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row>
    <row r="59" spans="15:58" ht="12.75" hidden="1">
      <c r="O59" s="77">
        <f t="shared" si="7"/>
        <v>0</v>
      </c>
      <c r="Q59" s="77">
        <f t="shared" si="7"/>
        <v>0</v>
      </c>
      <c r="S59" s="77">
        <f t="shared" si="7"/>
        <v>0</v>
      </c>
      <c r="V59" s="77" t="s">
        <v>141</v>
      </c>
      <c r="X59" s="77" t="s">
        <v>81</v>
      </c>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row>
    <row r="60" spans="15:58" ht="12.75" hidden="1">
      <c r="O60" s="77">
        <f t="shared" si="7"/>
        <v>0</v>
      </c>
      <c r="Q60" s="77">
        <f t="shared" si="7"/>
        <v>0</v>
      </c>
      <c r="S60" s="77">
        <f t="shared" si="7"/>
        <v>0</v>
      </c>
      <c r="V60" s="77" t="s">
        <v>142</v>
      </c>
      <c r="X60" s="77" t="s">
        <v>195</v>
      </c>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row>
    <row r="61" spans="15:58" ht="12.75" hidden="1">
      <c r="O61" s="77">
        <f t="shared" si="7"/>
        <v>0</v>
      </c>
      <c r="Q61" s="77">
        <f t="shared" si="7"/>
        <v>0</v>
      </c>
      <c r="S61" s="77">
        <f t="shared" si="7"/>
        <v>0</v>
      </c>
      <c r="V61" s="77" t="s">
        <v>143</v>
      </c>
      <c r="X61" s="77" t="s">
        <v>196</v>
      </c>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58" ht="12.75" hidden="1">
      <c r="O62" s="77">
        <f t="shared" si="7"/>
        <v>0</v>
      </c>
      <c r="Q62" s="77">
        <f t="shared" si="7"/>
        <v>0</v>
      </c>
      <c r="S62" s="77">
        <f t="shared" si="7"/>
        <v>0</v>
      </c>
      <c r="V62" s="243" t="s">
        <v>69</v>
      </c>
      <c r="X62" s="77" t="s">
        <v>197</v>
      </c>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row r="63" spans="15:58" ht="12.75" hidden="1">
      <c r="O63" s="77">
        <f t="shared" si="7"/>
        <v>0</v>
      </c>
      <c r="Q63" s="77">
        <f t="shared" si="7"/>
        <v>0</v>
      </c>
      <c r="S63" s="77">
        <f t="shared" si="7"/>
        <v>0</v>
      </c>
      <c r="V63" s="77" t="s">
        <v>323</v>
      </c>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row>
    <row r="64" spans="30:58" ht="12.75" hidden="1">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row>
    <row r="65" spans="15:58" ht="12.75" hidden="1">
      <c r="O65" s="77">
        <f>SUM(O56:O64)</f>
        <v>0</v>
      </c>
      <c r="Q65" s="77">
        <f>SUM(Q56:Q64)</f>
        <v>0</v>
      </c>
      <c r="S65" s="77">
        <f>SUM(S56:S64)</f>
        <v>0</v>
      </c>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row>
    <row r="66" spans="30:58" ht="12.75" hidden="1">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row>
    <row r="67" spans="30:58" ht="12.75">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row>
    <row r="65239" spans="17:19" ht="12.75">
      <c r="Q65239" s="147"/>
      <c r="S65239" s="147"/>
    </row>
  </sheetData>
  <sheetProtection password="CA11" sheet="1" objects="1" scenarios="1"/>
  <dataValidations count="3">
    <dataValidation type="list" allowBlank="1" showInputMessage="1" showErrorMessage="1" sqref="C19:D31">
      <formula1>$V$55:$V$63</formula1>
    </dataValidation>
    <dataValidation type="list" allowBlank="1" showInputMessage="1" showErrorMessage="1" sqref="I19:I31">
      <formula1>$X$55:$X$62</formula1>
    </dataValidation>
    <dataValidation type="list" allowBlank="1" showInputMessage="1" showErrorMessage="1" sqref="K19:K31">
      <formula1>$AE$18:$AE$20</formula1>
    </dataValidation>
  </dataValidations>
  <printOptions horizontalCentered="1"/>
  <pageMargins left="0.25" right="0.25" top="0.5" bottom="0.5" header="0.5" footer="0.5"/>
  <pageSetup fitToHeight="1" fitToWidth="1" orientation="landscape" scale="62"/>
</worksheet>
</file>

<file path=xl/worksheets/sheet6.xml><?xml version="1.0" encoding="utf-8"?>
<worksheet xmlns="http://schemas.openxmlformats.org/spreadsheetml/2006/main" xmlns:r="http://schemas.openxmlformats.org/officeDocument/2006/relationships">
  <sheetPr>
    <pageSetUpPr fitToPage="1"/>
  </sheetPr>
  <dimension ref="A1:BP65230"/>
  <sheetViews>
    <sheetView zoomScale="90" zoomScaleNormal="90" workbookViewId="0" topLeftCell="A1">
      <selection activeCell="I21" sqref="I21"/>
    </sheetView>
  </sheetViews>
  <sheetFormatPr defaultColWidth="8.88671875" defaultRowHeight="15"/>
  <cols>
    <col min="1" max="1" width="1.77734375" style="77" customWidth="1"/>
    <col min="2" max="2" width="3.77734375" style="77" customWidth="1"/>
    <col min="3" max="3" width="21.10546875" style="77" customWidth="1"/>
    <col min="4" max="4" width="2.21484375" style="77" customWidth="1"/>
    <col min="5" max="5" width="31.77734375" style="77" customWidth="1"/>
    <col min="6" max="6" width="2.3359375" style="77" customWidth="1"/>
    <col min="7" max="7" width="20.21484375" style="77" customWidth="1"/>
    <col min="8" max="8" width="2.3359375" style="77" customWidth="1"/>
    <col min="9" max="9" width="10.6640625" style="77" customWidth="1"/>
    <col min="10" max="10" width="2.3359375" style="77" customWidth="1"/>
    <col min="11" max="11" width="10.6640625" style="77" customWidth="1"/>
    <col min="12" max="12" width="2.3359375" style="77" customWidth="1"/>
    <col min="13" max="13" width="10.6640625" style="77" customWidth="1"/>
    <col min="14" max="14" width="2.3359375" style="77" customWidth="1"/>
    <col min="15" max="15" width="10.6640625" style="77" customWidth="1"/>
    <col min="16" max="16" width="2.3359375" style="77" customWidth="1"/>
    <col min="17" max="17" width="10.99609375" style="77" customWidth="1"/>
    <col min="18" max="18" width="2.3359375" style="77" customWidth="1"/>
    <col min="19" max="19" width="14.21484375" style="77" customWidth="1"/>
    <col min="20" max="20" width="1.77734375" style="77" customWidth="1"/>
    <col min="21" max="21" width="3.3359375" style="77" customWidth="1"/>
    <col min="22" max="25" width="8.88671875" style="77" hidden="1" customWidth="1"/>
    <col min="26" max="26" width="2.99609375" style="77" hidden="1" customWidth="1"/>
    <col min="27" max="33" width="8.88671875" style="77" hidden="1" customWidth="1"/>
    <col min="34" max="61" width="8.88671875" style="77" customWidth="1"/>
    <col min="62" max="68" width="8.88671875" style="121" customWidth="1"/>
    <col min="69" max="16384" width="8.88671875" style="77" customWidth="1"/>
  </cols>
  <sheetData>
    <row r="1" spans="1:68" ht="12.75">
      <c r="A1" s="269" t="str">
        <f>'Summary Tab'!A1</f>
        <v>"Master Template" School District</v>
      </c>
      <c r="BJ1" s="77"/>
      <c r="BK1" s="77"/>
      <c r="BL1" s="77"/>
      <c r="BM1" s="77"/>
      <c r="BN1" s="77"/>
      <c r="BO1" s="77"/>
      <c r="BP1" s="77"/>
    </row>
    <row r="2" spans="62:68" ht="13.5" thickBot="1">
      <c r="BJ2" s="77"/>
      <c r="BK2" s="77"/>
      <c r="BL2" s="77"/>
      <c r="BM2" s="77"/>
      <c r="BN2" s="77"/>
      <c r="BO2" s="77"/>
      <c r="BP2" s="77"/>
    </row>
    <row r="3" spans="1:68" ht="19.5" thickBot="1">
      <c r="A3" s="80" t="s">
        <v>139</v>
      </c>
      <c r="B3" s="81"/>
      <c r="C3" s="81"/>
      <c r="D3" s="81"/>
      <c r="E3" s="81"/>
      <c r="F3" s="81"/>
      <c r="G3" s="81"/>
      <c r="H3" s="81"/>
      <c r="I3" s="81"/>
      <c r="J3" s="81"/>
      <c r="K3" s="81"/>
      <c r="L3" s="81"/>
      <c r="M3" s="81"/>
      <c r="N3" s="81"/>
      <c r="O3" s="81"/>
      <c r="P3" s="81"/>
      <c r="Q3" s="81"/>
      <c r="R3" s="81"/>
      <c r="S3" s="81"/>
      <c r="T3" s="82"/>
      <c r="BJ3" s="77"/>
      <c r="BK3" s="77"/>
      <c r="BL3" s="77"/>
      <c r="BM3" s="77"/>
      <c r="BN3" s="77"/>
      <c r="BO3" s="77"/>
      <c r="BP3" s="77"/>
    </row>
    <row r="4" spans="1:68" ht="16.5" customHeight="1">
      <c r="A4" s="83"/>
      <c r="B4" s="84"/>
      <c r="C4" s="84"/>
      <c r="D4" s="84"/>
      <c r="E4" s="84"/>
      <c r="F4" s="84"/>
      <c r="G4" s="84"/>
      <c r="H4" s="84"/>
      <c r="I4" s="84"/>
      <c r="J4" s="84"/>
      <c r="K4" s="84"/>
      <c r="L4" s="84"/>
      <c r="M4" s="84"/>
      <c r="N4" s="84"/>
      <c r="O4" s="84"/>
      <c r="P4" s="84"/>
      <c r="Q4" s="84"/>
      <c r="R4" s="84"/>
      <c r="S4" s="84"/>
      <c r="T4" s="85"/>
      <c r="BJ4" s="77"/>
      <c r="BK4" s="77"/>
      <c r="BL4" s="77"/>
      <c r="BM4" s="77"/>
      <c r="BN4" s="77"/>
      <c r="BO4" s="77"/>
      <c r="BP4" s="77"/>
    </row>
    <row r="5" spans="1:68" ht="12.75">
      <c r="A5" s="86"/>
      <c r="B5" s="87"/>
      <c r="C5" s="88" t="s">
        <v>276</v>
      </c>
      <c r="D5" s="88"/>
      <c r="E5" s="89"/>
      <c r="F5" s="89"/>
      <c r="G5" s="89"/>
      <c r="H5" s="89"/>
      <c r="I5" s="89"/>
      <c r="J5" s="89"/>
      <c r="K5" s="89"/>
      <c r="L5" s="89"/>
      <c r="M5" s="89"/>
      <c r="N5" s="89"/>
      <c r="O5" s="89"/>
      <c r="P5" s="89"/>
      <c r="Q5" s="89"/>
      <c r="R5" s="89"/>
      <c r="S5" s="89"/>
      <c r="T5" s="90"/>
      <c r="BJ5" s="77"/>
      <c r="BK5" s="77"/>
      <c r="BL5" s="77"/>
      <c r="BM5" s="77"/>
      <c r="BN5" s="77"/>
      <c r="BO5" s="77"/>
      <c r="BP5" s="77"/>
    </row>
    <row r="6" spans="1:68" ht="12.75">
      <c r="A6" s="86"/>
      <c r="B6" s="87"/>
      <c r="C6" s="88"/>
      <c r="D6" s="88"/>
      <c r="E6" s="89"/>
      <c r="F6" s="89"/>
      <c r="G6" s="89"/>
      <c r="H6" s="89"/>
      <c r="I6" s="89"/>
      <c r="J6" s="89"/>
      <c r="K6" s="89"/>
      <c r="L6" s="89"/>
      <c r="M6" s="89"/>
      <c r="N6" s="89"/>
      <c r="O6" s="89"/>
      <c r="P6" s="89"/>
      <c r="Q6" s="89"/>
      <c r="R6" s="89"/>
      <c r="S6" s="89"/>
      <c r="T6" s="90"/>
      <c r="BJ6" s="77"/>
      <c r="BK6" s="77"/>
      <c r="BL6" s="77"/>
      <c r="BM6" s="77"/>
      <c r="BN6" s="77"/>
      <c r="BO6" s="77"/>
      <c r="BP6" s="77"/>
    </row>
    <row r="7" spans="1:68" ht="12.75">
      <c r="A7" s="86"/>
      <c r="B7" s="91" t="s">
        <v>275</v>
      </c>
      <c r="C7" s="89"/>
      <c r="D7" s="89"/>
      <c r="E7" s="92"/>
      <c r="F7" s="92"/>
      <c r="G7" s="92"/>
      <c r="H7" s="93"/>
      <c r="I7" s="93"/>
      <c r="J7" s="94"/>
      <c r="K7" s="93"/>
      <c r="L7" s="94"/>
      <c r="M7" s="95"/>
      <c r="N7" s="94"/>
      <c r="O7" s="95"/>
      <c r="P7" s="94"/>
      <c r="Q7" s="95"/>
      <c r="R7" s="92"/>
      <c r="S7" s="95"/>
      <c r="T7" s="90"/>
      <c r="BJ7" s="77"/>
      <c r="BK7" s="77"/>
      <c r="BL7" s="77"/>
      <c r="BM7" s="77"/>
      <c r="BN7" s="77"/>
      <c r="BO7" s="77"/>
      <c r="BP7" s="77"/>
    </row>
    <row r="8" spans="1:68" ht="12.75">
      <c r="A8" s="86"/>
      <c r="B8" s="89" t="s">
        <v>318</v>
      </c>
      <c r="C8" s="89" t="s">
        <v>278</v>
      </c>
      <c r="D8" s="89"/>
      <c r="E8" s="92"/>
      <c r="F8" s="92"/>
      <c r="G8" s="92"/>
      <c r="H8" s="93"/>
      <c r="I8" s="93"/>
      <c r="J8" s="94"/>
      <c r="K8" s="93"/>
      <c r="L8" s="94"/>
      <c r="M8" s="95"/>
      <c r="N8" s="94"/>
      <c r="O8" s="95"/>
      <c r="P8" s="94"/>
      <c r="Q8" s="95"/>
      <c r="R8" s="92"/>
      <c r="S8" s="95"/>
      <c r="T8" s="90"/>
      <c r="BJ8" s="77"/>
      <c r="BK8" s="77"/>
      <c r="BL8" s="77"/>
      <c r="BM8" s="77"/>
      <c r="BN8" s="77"/>
      <c r="BO8" s="77"/>
      <c r="BP8" s="77"/>
    </row>
    <row r="9" spans="1:68" ht="12.75">
      <c r="A9" s="86"/>
      <c r="B9" s="89" t="s">
        <v>319</v>
      </c>
      <c r="C9" s="89" t="s">
        <v>75</v>
      </c>
      <c r="D9" s="89"/>
      <c r="E9" s="92"/>
      <c r="F9" s="92"/>
      <c r="G9" s="92"/>
      <c r="H9" s="93"/>
      <c r="I9" s="93"/>
      <c r="J9" s="94"/>
      <c r="K9" s="93"/>
      <c r="L9" s="94"/>
      <c r="M9" s="95"/>
      <c r="N9" s="94"/>
      <c r="O9" s="95"/>
      <c r="P9" s="94"/>
      <c r="Q9" s="95"/>
      <c r="R9" s="92"/>
      <c r="S9" s="95"/>
      <c r="T9" s="90"/>
      <c r="BJ9" s="77"/>
      <c r="BK9" s="77"/>
      <c r="BL9" s="77"/>
      <c r="BM9" s="77"/>
      <c r="BN9" s="77"/>
      <c r="BO9" s="77"/>
      <c r="BP9" s="77"/>
    </row>
    <row r="10" spans="1:68" ht="12.75">
      <c r="A10" s="86"/>
      <c r="B10" s="89" t="s">
        <v>363</v>
      </c>
      <c r="C10" s="89" t="s">
        <v>164</v>
      </c>
      <c r="D10" s="89"/>
      <c r="E10" s="92"/>
      <c r="F10" s="92"/>
      <c r="G10" s="92"/>
      <c r="H10" s="93"/>
      <c r="I10" s="93"/>
      <c r="J10" s="94"/>
      <c r="K10" s="93"/>
      <c r="L10" s="94"/>
      <c r="M10" s="95"/>
      <c r="N10" s="94"/>
      <c r="O10" s="95"/>
      <c r="P10" s="94"/>
      <c r="Q10" s="95"/>
      <c r="R10" s="92"/>
      <c r="S10" s="95"/>
      <c r="T10" s="90"/>
      <c r="BJ10" s="77"/>
      <c r="BK10" s="77"/>
      <c r="BL10" s="77"/>
      <c r="BM10" s="77"/>
      <c r="BN10" s="77"/>
      <c r="BO10" s="77"/>
      <c r="BP10" s="77"/>
    </row>
    <row r="11" spans="1:68" ht="12.75">
      <c r="A11" s="86"/>
      <c r="B11" s="89" t="s">
        <v>320</v>
      </c>
      <c r="C11" s="89" t="s">
        <v>381</v>
      </c>
      <c r="D11" s="89"/>
      <c r="E11" s="96"/>
      <c r="F11" s="92"/>
      <c r="G11" s="98"/>
      <c r="H11" s="97"/>
      <c r="I11" s="97"/>
      <c r="J11" s="97"/>
      <c r="K11" s="97"/>
      <c r="L11" s="97"/>
      <c r="M11" s="95"/>
      <c r="N11" s="97"/>
      <c r="O11" s="95"/>
      <c r="P11" s="97"/>
      <c r="Q11" s="95"/>
      <c r="R11" s="92"/>
      <c r="S11" s="95"/>
      <c r="T11" s="90"/>
      <c r="BJ11" s="77"/>
      <c r="BK11" s="77"/>
      <c r="BL11" s="77"/>
      <c r="BM11" s="77"/>
      <c r="BN11" s="77"/>
      <c r="BO11" s="77"/>
      <c r="BP11" s="77"/>
    </row>
    <row r="12" spans="1:68" ht="12.75">
      <c r="A12" s="86"/>
      <c r="B12" s="89" t="s">
        <v>213</v>
      </c>
      <c r="C12" s="89" t="s">
        <v>123</v>
      </c>
      <c r="D12" s="89"/>
      <c r="E12" s="96"/>
      <c r="F12" s="92"/>
      <c r="G12" s="98"/>
      <c r="H12" s="97"/>
      <c r="I12" s="97"/>
      <c r="J12" s="97"/>
      <c r="K12" s="97"/>
      <c r="L12" s="97"/>
      <c r="M12" s="95"/>
      <c r="N12" s="97"/>
      <c r="O12" s="95"/>
      <c r="P12" s="97"/>
      <c r="Q12" s="95"/>
      <c r="R12" s="92"/>
      <c r="S12" s="95"/>
      <c r="T12" s="90"/>
      <c r="BJ12" s="77"/>
      <c r="BK12" s="77"/>
      <c r="BL12" s="77"/>
      <c r="BM12" s="77"/>
      <c r="BN12" s="77"/>
      <c r="BO12" s="77"/>
      <c r="BP12" s="77"/>
    </row>
    <row r="13" spans="1:68" ht="12.75">
      <c r="A13" s="86"/>
      <c r="B13" s="89"/>
      <c r="C13" s="89"/>
      <c r="D13" s="89"/>
      <c r="E13" s="96"/>
      <c r="F13" s="92"/>
      <c r="G13" s="98"/>
      <c r="H13" s="97"/>
      <c r="I13" s="97"/>
      <c r="J13" s="97"/>
      <c r="K13" s="97"/>
      <c r="L13" s="97"/>
      <c r="M13" s="95"/>
      <c r="N13" s="97"/>
      <c r="O13" s="95"/>
      <c r="P13" s="97"/>
      <c r="Q13" s="95"/>
      <c r="R13" s="92"/>
      <c r="S13" s="95"/>
      <c r="T13" s="90"/>
      <c r="BJ13" s="77"/>
      <c r="BK13" s="77"/>
      <c r="BL13" s="77"/>
      <c r="BM13" s="77"/>
      <c r="BN13" s="77"/>
      <c r="BO13" s="77"/>
      <c r="BP13" s="77"/>
    </row>
    <row r="14" spans="1:68" ht="12.75">
      <c r="A14" s="86"/>
      <c r="B14" s="99" t="s">
        <v>260</v>
      </c>
      <c r="C14" s="100"/>
      <c r="D14" s="100"/>
      <c r="E14" s="100"/>
      <c r="F14" s="92"/>
      <c r="G14" s="98"/>
      <c r="H14" s="97"/>
      <c r="I14" s="97"/>
      <c r="J14" s="97"/>
      <c r="K14" s="97"/>
      <c r="L14" s="97"/>
      <c r="M14" s="95"/>
      <c r="N14" s="97"/>
      <c r="O14" s="95"/>
      <c r="P14" s="97"/>
      <c r="Q14" s="95"/>
      <c r="R14" s="92"/>
      <c r="S14" s="95"/>
      <c r="T14" s="90"/>
      <c r="BJ14" s="77"/>
      <c r="BK14" s="77"/>
      <c r="BL14" s="77"/>
      <c r="BM14" s="77"/>
      <c r="BN14" s="77"/>
      <c r="BO14" s="77"/>
      <c r="BP14" s="77"/>
    </row>
    <row r="15" spans="1:68" ht="12.75">
      <c r="A15" s="86"/>
      <c r="B15" s="99"/>
      <c r="C15" s="100"/>
      <c r="D15" s="100"/>
      <c r="E15" s="100"/>
      <c r="F15" s="92"/>
      <c r="G15" s="98"/>
      <c r="H15" s="97"/>
      <c r="I15" s="97"/>
      <c r="J15" s="97"/>
      <c r="K15" s="97"/>
      <c r="L15" s="97"/>
      <c r="M15" s="95"/>
      <c r="N15" s="97"/>
      <c r="O15" s="95"/>
      <c r="P15" s="97"/>
      <c r="Q15" s="95"/>
      <c r="R15" s="92"/>
      <c r="S15" s="95"/>
      <c r="T15" s="90"/>
      <c r="BJ15" s="77"/>
      <c r="BK15" s="77"/>
      <c r="BL15" s="77"/>
      <c r="BM15" s="77"/>
      <c r="BN15" s="77"/>
      <c r="BO15" s="77"/>
      <c r="BP15" s="77"/>
    </row>
    <row r="16" spans="1:68" ht="12.75">
      <c r="A16" s="86"/>
      <c r="B16" s="100"/>
      <c r="C16" s="100"/>
      <c r="D16" s="100"/>
      <c r="E16" s="100"/>
      <c r="F16" s="92"/>
      <c r="G16" s="98"/>
      <c r="H16" s="97"/>
      <c r="I16" s="97"/>
      <c r="J16" s="97"/>
      <c r="K16" s="95" t="s">
        <v>165</v>
      </c>
      <c r="L16" s="97"/>
      <c r="M16" s="95" t="s">
        <v>165</v>
      </c>
      <c r="N16" s="97"/>
      <c r="O16" s="95" t="s">
        <v>165</v>
      </c>
      <c r="P16" s="97"/>
      <c r="Q16" s="95"/>
      <c r="R16" s="92"/>
      <c r="S16" s="95"/>
      <c r="T16" s="90"/>
      <c r="BJ16" s="77"/>
      <c r="BK16" s="77"/>
      <c r="BL16" s="77"/>
      <c r="BM16" s="77"/>
      <c r="BN16" s="77"/>
      <c r="BO16" s="77"/>
      <c r="BP16" s="77"/>
    </row>
    <row r="17" spans="1:68" ht="12.75">
      <c r="A17" s="86"/>
      <c r="B17" s="101"/>
      <c r="C17" s="102"/>
      <c r="D17" s="102"/>
      <c r="E17" s="103"/>
      <c r="F17" s="92"/>
      <c r="G17" s="98"/>
      <c r="H17" s="97"/>
      <c r="I17" s="95" t="s">
        <v>160</v>
      </c>
      <c r="J17" s="104"/>
      <c r="K17" s="95" t="s">
        <v>160</v>
      </c>
      <c r="L17" s="104"/>
      <c r="M17" s="95" t="s">
        <v>160</v>
      </c>
      <c r="N17" s="104"/>
      <c r="O17" s="95" t="s">
        <v>160</v>
      </c>
      <c r="P17" s="104"/>
      <c r="Q17" s="95" t="s">
        <v>309</v>
      </c>
      <c r="R17" s="92"/>
      <c r="S17" s="95"/>
      <c r="T17" s="90"/>
      <c r="BJ17" s="77"/>
      <c r="BK17" s="77"/>
      <c r="BL17" s="77"/>
      <c r="BM17" s="77"/>
      <c r="BN17" s="77"/>
      <c r="BO17" s="77"/>
      <c r="BP17" s="77"/>
    </row>
    <row r="18" spans="1:68" ht="12.75">
      <c r="A18" s="86"/>
      <c r="B18" s="100"/>
      <c r="C18" s="105" t="s">
        <v>221</v>
      </c>
      <c r="D18" s="105"/>
      <c r="E18" s="106" t="s">
        <v>291</v>
      </c>
      <c r="F18" s="110"/>
      <c r="G18" s="105" t="s">
        <v>316</v>
      </c>
      <c r="H18" s="107"/>
      <c r="I18" s="108" t="s">
        <v>157</v>
      </c>
      <c r="J18" s="109"/>
      <c r="K18" s="108" t="s">
        <v>158</v>
      </c>
      <c r="L18" s="109"/>
      <c r="M18" s="108" t="s">
        <v>311</v>
      </c>
      <c r="N18" s="109"/>
      <c r="O18" s="108" t="s">
        <v>366</v>
      </c>
      <c r="P18" s="109"/>
      <c r="Q18" s="108" t="s">
        <v>233</v>
      </c>
      <c r="R18" s="110"/>
      <c r="S18" s="108"/>
      <c r="T18" s="90"/>
      <c r="BJ18" s="77"/>
      <c r="BK18" s="77"/>
      <c r="BL18" s="77"/>
      <c r="BM18" s="77"/>
      <c r="BN18" s="77"/>
      <c r="BO18" s="77"/>
      <c r="BP18" s="77"/>
    </row>
    <row r="19" spans="1:68" ht="12.75">
      <c r="A19" s="86"/>
      <c r="B19" s="100"/>
      <c r="C19" s="111" t="s">
        <v>364</v>
      </c>
      <c r="D19" s="112"/>
      <c r="E19" s="111" t="s">
        <v>364</v>
      </c>
      <c r="F19" s="115"/>
      <c r="G19" s="111" t="s">
        <v>365</v>
      </c>
      <c r="H19" s="113"/>
      <c r="I19" s="111"/>
      <c r="J19" s="114"/>
      <c r="K19" s="111"/>
      <c r="L19" s="114"/>
      <c r="M19" s="111"/>
      <c r="N19" s="114"/>
      <c r="O19" s="111"/>
      <c r="P19" s="114"/>
      <c r="Q19" s="111" t="s">
        <v>186</v>
      </c>
      <c r="R19" s="115"/>
      <c r="S19" s="108"/>
      <c r="T19" s="90"/>
      <c r="BJ19" s="77"/>
      <c r="BK19" s="77"/>
      <c r="BL19" s="77"/>
      <c r="BM19" s="77"/>
      <c r="BN19" s="77"/>
      <c r="BO19" s="77"/>
      <c r="BP19" s="77"/>
    </row>
    <row r="20" spans="1:29" ht="12.75">
      <c r="A20" s="86"/>
      <c r="B20" s="100"/>
      <c r="C20" s="111"/>
      <c r="D20" s="111"/>
      <c r="E20" s="111"/>
      <c r="F20" s="118"/>
      <c r="G20" s="111"/>
      <c r="H20" s="116"/>
      <c r="I20" s="111"/>
      <c r="J20" s="117"/>
      <c r="K20" s="111"/>
      <c r="L20" s="117"/>
      <c r="M20" s="111"/>
      <c r="N20" s="117"/>
      <c r="O20" s="111"/>
      <c r="P20" s="117"/>
      <c r="Q20" s="111"/>
      <c r="R20" s="118"/>
      <c r="S20" s="111"/>
      <c r="T20" s="90"/>
      <c r="V20" s="119">
        <v>40359</v>
      </c>
      <c r="W20" s="119">
        <v>40724</v>
      </c>
      <c r="X20" s="119">
        <v>41090</v>
      </c>
      <c r="Y20" s="119">
        <v>41455</v>
      </c>
      <c r="AA20" s="120" t="s">
        <v>198</v>
      </c>
      <c r="AB20" s="120" t="s">
        <v>199</v>
      </c>
      <c r="AC20" s="120" t="s">
        <v>414</v>
      </c>
    </row>
    <row r="21" spans="1:31" ht="24" customHeight="1">
      <c r="A21" s="86"/>
      <c r="B21" s="122">
        <v>1</v>
      </c>
      <c r="C21" s="123"/>
      <c r="D21" s="124"/>
      <c r="E21" s="125"/>
      <c r="F21" s="130"/>
      <c r="G21" s="131" t="s">
        <v>292</v>
      </c>
      <c r="H21" s="126"/>
      <c r="I21" s="127"/>
      <c r="J21" s="128"/>
      <c r="K21" s="127"/>
      <c r="L21" s="128"/>
      <c r="M21" s="127"/>
      <c r="N21" s="128"/>
      <c r="O21" s="127"/>
      <c r="P21" s="128"/>
      <c r="Q21" s="129"/>
      <c r="R21" s="130"/>
      <c r="S21" s="129">
        <f>IF(AND(Q21&lt;$AE$34,O21&gt;0),"See C. above","")</f>
      </c>
      <c r="T21" s="90"/>
      <c r="V21" s="77">
        <f>IF(OR($G21=$AE$25,$G21=$AE$32),0,I21)</f>
        <v>0</v>
      </c>
      <c r="W21" s="77">
        <f aca="true" t="shared" si="0" ref="W21:W34">IF(OR($G21=$AE$25,$G21=$AE$32),0,K21)</f>
        <v>0</v>
      </c>
      <c r="X21" s="77">
        <f aca="true" t="shared" si="1" ref="X21:X34">IF(OR($G21=$AE$25,$G21=$AE$32),0,M21)</f>
        <v>0</v>
      </c>
      <c r="Y21" s="77">
        <f>IF(OR($G21=$AE$25,$G21=$AE$32),0,O21)</f>
        <v>0</v>
      </c>
      <c r="AA21" s="77">
        <f>IF(AND(V21=0,W21=0),0,(V21-W21)/12)</f>
        <v>0</v>
      </c>
      <c r="AB21" s="77">
        <f>IF(AND(W21=0,X21=0),0,(W21-X21)/12)</f>
        <v>0</v>
      </c>
      <c r="AC21" s="77">
        <f>IF(AND(X21=0,Y21=0),0,(X21-Y21)/12)</f>
        <v>0</v>
      </c>
      <c r="AE21" s="4" t="s">
        <v>310</v>
      </c>
    </row>
    <row r="22" spans="1:31" ht="24" customHeight="1">
      <c r="A22" s="86"/>
      <c r="B22" s="122">
        <v>2</v>
      </c>
      <c r="C22" s="132"/>
      <c r="D22" s="124"/>
      <c r="E22" s="133"/>
      <c r="F22" s="130"/>
      <c r="G22" s="131" t="s">
        <v>292</v>
      </c>
      <c r="H22" s="126"/>
      <c r="I22" s="127"/>
      <c r="J22" s="126"/>
      <c r="K22" s="127"/>
      <c r="L22" s="126"/>
      <c r="M22" s="127"/>
      <c r="N22" s="126"/>
      <c r="O22" s="127"/>
      <c r="P22" s="126"/>
      <c r="Q22" s="129">
        <f>IF(O22&gt;0,"Enter Date","")</f>
      </c>
      <c r="R22" s="130"/>
      <c r="S22" s="129">
        <f aca="true" t="shared" si="2" ref="S22:S34">IF(AND(Q22&lt;$AE$34,O22&gt;0),"See C. above","")</f>
      </c>
      <c r="T22" s="90"/>
      <c r="V22" s="77">
        <f aca="true" t="shared" si="3" ref="V22:V34">IF(OR($G22=$AE$25,$G22=$AE$32),0,I22)</f>
        <v>0</v>
      </c>
      <c r="W22" s="77">
        <f t="shared" si="0"/>
        <v>0</v>
      </c>
      <c r="X22" s="77">
        <f t="shared" si="1"/>
        <v>0</v>
      </c>
      <c r="Y22" s="77">
        <f aca="true" t="shared" si="4" ref="Y22:Y34">IF(OR($G22=$AE$25,$G22=$AE$32),0,O22)</f>
        <v>0</v>
      </c>
      <c r="AA22" s="77">
        <f aca="true" t="shared" si="5" ref="AA22:AA34">IF(AND(V22=0,W22=0),0,(V22-W22)/12)</f>
        <v>0</v>
      </c>
      <c r="AB22" s="77">
        <f aca="true" t="shared" si="6" ref="AB22:AC34">IF(AND(W22=0,X22=0),0,(W22-X22)/12)</f>
        <v>0</v>
      </c>
      <c r="AC22" s="77">
        <f t="shared" si="6"/>
        <v>0</v>
      </c>
      <c r="AE22" s="4" t="s">
        <v>78</v>
      </c>
    </row>
    <row r="23" spans="1:31" ht="24" customHeight="1">
      <c r="A23" s="86"/>
      <c r="B23" s="122">
        <v>3</v>
      </c>
      <c r="C23" s="132"/>
      <c r="D23" s="124"/>
      <c r="E23" s="133"/>
      <c r="F23" s="130"/>
      <c r="G23" s="131" t="s">
        <v>292</v>
      </c>
      <c r="H23" s="126"/>
      <c r="I23" s="127"/>
      <c r="J23" s="126"/>
      <c r="K23" s="127"/>
      <c r="L23" s="126"/>
      <c r="M23" s="127"/>
      <c r="N23" s="126"/>
      <c r="O23" s="127"/>
      <c r="P23" s="126"/>
      <c r="Q23" s="129">
        <f aca="true" t="shared" si="7" ref="Q23:Q34">IF(O23&gt;0,"Enter Date","")</f>
      </c>
      <c r="R23" s="130"/>
      <c r="S23" s="129">
        <f t="shared" si="2"/>
      </c>
      <c r="T23" s="90"/>
      <c r="V23" s="77">
        <f t="shared" si="3"/>
        <v>0</v>
      </c>
      <c r="W23" s="77">
        <f t="shared" si="0"/>
        <v>0</v>
      </c>
      <c r="X23" s="77">
        <f t="shared" si="1"/>
        <v>0</v>
      </c>
      <c r="Y23" s="77">
        <f t="shared" si="4"/>
        <v>0</v>
      </c>
      <c r="AA23" s="77">
        <f t="shared" si="5"/>
        <v>0</v>
      </c>
      <c r="AB23" s="77">
        <f t="shared" si="6"/>
        <v>0</v>
      </c>
      <c r="AC23" s="77">
        <f t="shared" si="6"/>
        <v>0</v>
      </c>
      <c r="AE23" s="4" t="s">
        <v>79</v>
      </c>
    </row>
    <row r="24" spans="1:29" ht="24" customHeight="1">
      <c r="A24" s="86"/>
      <c r="B24" s="122">
        <v>4</v>
      </c>
      <c r="C24" s="132"/>
      <c r="D24" s="124"/>
      <c r="E24" s="133"/>
      <c r="F24" s="130"/>
      <c r="G24" s="131" t="s">
        <v>292</v>
      </c>
      <c r="H24" s="126"/>
      <c r="I24" s="127"/>
      <c r="J24" s="126"/>
      <c r="K24" s="127"/>
      <c r="L24" s="126"/>
      <c r="M24" s="127"/>
      <c r="N24" s="126"/>
      <c r="O24" s="127"/>
      <c r="P24" s="126"/>
      <c r="Q24" s="129">
        <f t="shared" si="7"/>
      </c>
      <c r="R24" s="130"/>
      <c r="S24" s="129">
        <f t="shared" si="2"/>
      </c>
      <c r="T24" s="90"/>
      <c r="V24" s="77">
        <f t="shared" si="3"/>
        <v>0</v>
      </c>
      <c r="W24" s="77">
        <f t="shared" si="0"/>
        <v>0</v>
      </c>
      <c r="X24" s="77">
        <f t="shared" si="1"/>
        <v>0</v>
      </c>
      <c r="Y24" s="77">
        <f t="shared" si="4"/>
        <v>0</v>
      </c>
      <c r="AA24" s="77">
        <f t="shared" si="5"/>
        <v>0</v>
      </c>
      <c r="AB24" s="77">
        <f t="shared" si="6"/>
        <v>0</v>
      </c>
      <c r="AC24" s="77">
        <f t="shared" si="6"/>
        <v>0</v>
      </c>
    </row>
    <row r="25" spans="1:31" ht="24" customHeight="1">
      <c r="A25" s="86"/>
      <c r="B25" s="122">
        <v>5</v>
      </c>
      <c r="C25" s="132"/>
      <c r="D25" s="124"/>
      <c r="E25" s="133"/>
      <c r="F25" s="130"/>
      <c r="G25" s="131" t="s">
        <v>292</v>
      </c>
      <c r="H25" s="126"/>
      <c r="I25" s="127"/>
      <c r="J25" s="126"/>
      <c r="K25" s="127"/>
      <c r="L25" s="126"/>
      <c r="M25" s="127"/>
      <c r="N25" s="126"/>
      <c r="O25" s="127"/>
      <c r="P25" s="126"/>
      <c r="Q25" s="129">
        <f t="shared" si="7"/>
      </c>
      <c r="R25" s="130"/>
      <c r="S25" s="129">
        <f t="shared" si="2"/>
      </c>
      <c r="T25" s="90"/>
      <c r="V25" s="77">
        <f t="shared" si="3"/>
        <v>0</v>
      </c>
      <c r="W25" s="77">
        <f t="shared" si="0"/>
        <v>0</v>
      </c>
      <c r="X25" s="77">
        <f t="shared" si="1"/>
        <v>0</v>
      </c>
      <c r="Y25" s="77">
        <f t="shared" si="4"/>
        <v>0</v>
      </c>
      <c r="AA25" s="77">
        <f t="shared" si="5"/>
        <v>0</v>
      </c>
      <c r="AB25" s="77">
        <f t="shared" si="6"/>
        <v>0</v>
      </c>
      <c r="AC25" s="77">
        <f t="shared" si="6"/>
        <v>0</v>
      </c>
      <c r="AE25" s="77" t="s">
        <v>80</v>
      </c>
    </row>
    <row r="26" spans="1:31" ht="24" customHeight="1">
      <c r="A26" s="86"/>
      <c r="B26" s="122">
        <v>6</v>
      </c>
      <c r="C26" s="132"/>
      <c r="D26" s="124"/>
      <c r="E26" s="133"/>
      <c r="F26" s="130"/>
      <c r="G26" s="131" t="s">
        <v>292</v>
      </c>
      <c r="H26" s="126"/>
      <c r="I26" s="127"/>
      <c r="J26" s="126"/>
      <c r="K26" s="127"/>
      <c r="L26" s="126"/>
      <c r="M26" s="127"/>
      <c r="N26" s="126"/>
      <c r="O26" s="127"/>
      <c r="P26" s="126"/>
      <c r="Q26" s="129">
        <f t="shared" si="7"/>
      </c>
      <c r="R26" s="130"/>
      <c r="S26" s="129">
        <f t="shared" si="2"/>
      </c>
      <c r="T26" s="90"/>
      <c r="V26" s="77">
        <f t="shared" si="3"/>
        <v>0</v>
      </c>
      <c r="W26" s="77">
        <f t="shared" si="0"/>
        <v>0</v>
      </c>
      <c r="X26" s="77">
        <f t="shared" si="1"/>
        <v>0</v>
      </c>
      <c r="Y26" s="77">
        <f t="shared" si="4"/>
        <v>0</v>
      </c>
      <c r="AA26" s="77">
        <f t="shared" si="5"/>
        <v>0</v>
      </c>
      <c r="AB26" s="77">
        <f t="shared" si="6"/>
        <v>0</v>
      </c>
      <c r="AC26" s="77">
        <f t="shared" si="6"/>
        <v>0</v>
      </c>
      <c r="AE26" s="77" t="s">
        <v>98</v>
      </c>
    </row>
    <row r="27" spans="1:31" ht="24" customHeight="1">
      <c r="A27" s="86"/>
      <c r="B27" s="122">
        <v>7</v>
      </c>
      <c r="C27" s="132"/>
      <c r="D27" s="124"/>
      <c r="E27" s="133"/>
      <c r="F27" s="130"/>
      <c r="G27" s="131" t="s">
        <v>292</v>
      </c>
      <c r="H27" s="126"/>
      <c r="I27" s="127"/>
      <c r="J27" s="126"/>
      <c r="K27" s="127"/>
      <c r="L27" s="126"/>
      <c r="M27" s="127"/>
      <c r="N27" s="126"/>
      <c r="O27" s="127"/>
      <c r="P27" s="126"/>
      <c r="Q27" s="129">
        <f t="shared" si="7"/>
      </c>
      <c r="R27" s="130"/>
      <c r="S27" s="129">
        <f t="shared" si="2"/>
      </c>
      <c r="T27" s="90"/>
      <c r="V27" s="77">
        <f t="shared" si="3"/>
        <v>0</v>
      </c>
      <c r="W27" s="77">
        <f t="shared" si="0"/>
        <v>0</v>
      </c>
      <c r="X27" s="77">
        <f t="shared" si="1"/>
        <v>0</v>
      </c>
      <c r="Y27" s="77">
        <f t="shared" si="4"/>
        <v>0</v>
      </c>
      <c r="AA27" s="77">
        <f t="shared" si="5"/>
        <v>0</v>
      </c>
      <c r="AB27" s="77">
        <f t="shared" si="6"/>
        <v>0</v>
      </c>
      <c r="AC27" s="77">
        <f t="shared" si="6"/>
        <v>0</v>
      </c>
      <c r="AE27" s="77" t="s">
        <v>99</v>
      </c>
    </row>
    <row r="28" spans="1:31" ht="24" customHeight="1">
      <c r="A28" s="86"/>
      <c r="B28" s="122">
        <v>8</v>
      </c>
      <c r="C28" s="132"/>
      <c r="D28" s="124"/>
      <c r="E28" s="133"/>
      <c r="F28" s="130"/>
      <c r="G28" s="131" t="s">
        <v>292</v>
      </c>
      <c r="H28" s="126"/>
      <c r="I28" s="127"/>
      <c r="J28" s="126"/>
      <c r="K28" s="127"/>
      <c r="L28" s="126"/>
      <c r="M28" s="127"/>
      <c r="N28" s="126"/>
      <c r="O28" s="127"/>
      <c r="P28" s="126"/>
      <c r="Q28" s="129">
        <f t="shared" si="7"/>
      </c>
      <c r="R28" s="130"/>
      <c r="S28" s="129">
        <f t="shared" si="2"/>
      </c>
      <c r="T28" s="90"/>
      <c r="V28" s="77">
        <f t="shared" si="3"/>
        <v>0</v>
      </c>
      <c r="W28" s="77">
        <f t="shared" si="0"/>
        <v>0</v>
      </c>
      <c r="X28" s="77">
        <f t="shared" si="1"/>
        <v>0</v>
      </c>
      <c r="Y28" s="77">
        <f t="shared" si="4"/>
        <v>0</v>
      </c>
      <c r="AA28" s="77">
        <f t="shared" si="5"/>
        <v>0</v>
      </c>
      <c r="AB28" s="77">
        <f t="shared" si="6"/>
        <v>0</v>
      </c>
      <c r="AC28" s="77">
        <f t="shared" si="6"/>
        <v>0</v>
      </c>
      <c r="AE28" s="77" t="s">
        <v>100</v>
      </c>
    </row>
    <row r="29" spans="1:31" ht="24" customHeight="1">
      <c r="A29" s="86"/>
      <c r="B29" s="122">
        <v>9</v>
      </c>
      <c r="C29" s="132"/>
      <c r="D29" s="124"/>
      <c r="E29" s="133"/>
      <c r="F29" s="130"/>
      <c r="G29" s="131" t="s">
        <v>292</v>
      </c>
      <c r="H29" s="126"/>
      <c r="I29" s="127"/>
      <c r="J29" s="126"/>
      <c r="K29" s="127"/>
      <c r="L29" s="126"/>
      <c r="M29" s="127"/>
      <c r="N29" s="126"/>
      <c r="O29" s="127"/>
      <c r="P29" s="126"/>
      <c r="Q29" s="129">
        <f t="shared" si="7"/>
      </c>
      <c r="R29" s="130"/>
      <c r="S29" s="129">
        <f t="shared" si="2"/>
      </c>
      <c r="T29" s="90"/>
      <c r="V29" s="77">
        <f t="shared" si="3"/>
        <v>0</v>
      </c>
      <c r="W29" s="77">
        <f t="shared" si="0"/>
        <v>0</v>
      </c>
      <c r="X29" s="77">
        <f t="shared" si="1"/>
        <v>0</v>
      </c>
      <c r="Y29" s="77">
        <f t="shared" si="4"/>
        <v>0</v>
      </c>
      <c r="AA29" s="77">
        <f t="shared" si="5"/>
        <v>0</v>
      </c>
      <c r="AB29" s="77">
        <f t="shared" si="6"/>
        <v>0</v>
      </c>
      <c r="AC29" s="77">
        <f t="shared" si="6"/>
        <v>0</v>
      </c>
      <c r="AE29" s="77" t="s">
        <v>101</v>
      </c>
    </row>
    <row r="30" spans="1:31" ht="24" customHeight="1">
      <c r="A30" s="86"/>
      <c r="B30" s="122">
        <v>10</v>
      </c>
      <c r="C30" s="132"/>
      <c r="D30" s="124"/>
      <c r="E30" s="133"/>
      <c r="F30" s="130"/>
      <c r="G30" s="131" t="s">
        <v>292</v>
      </c>
      <c r="H30" s="126"/>
      <c r="I30" s="127"/>
      <c r="J30" s="126"/>
      <c r="K30" s="127"/>
      <c r="L30" s="126"/>
      <c r="M30" s="127"/>
      <c r="N30" s="126"/>
      <c r="O30" s="127"/>
      <c r="P30" s="126"/>
      <c r="Q30" s="129">
        <f t="shared" si="7"/>
      </c>
      <c r="R30" s="130"/>
      <c r="S30" s="129">
        <f t="shared" si="2"/>
      </c>
      <c r="T30" s="90"/>
      <c r="V30" s="77">
        <f t="shared" si="3"/>
        <v>0</v>
      </c>
      <c r="W30" s="77">
        <f t="shared" si="0"/>
        <v>0</v>
      </c>
      <c r="X30" s="77">
        <f t="shared" si="1"/>
        <v>0</v>
      </c>
      <c r="Y30" s="77">
        <f t="shared" si="4"/>
        <v>0</v>
      </c>
      <c r="AA30" s="77">
        <f t="shared" si="5"/>
        <v>0</v>
      </c>
      <c r="AB30" s="77">
        <f t="shared" si="6"/>
        <v>0</v>
      </c>
      <c r="AC30" s="77">
        <f t="shared" si="6"/>
        <v>0</v>
      </c>
      <c r="AE30" s="77" t="s">
        <v>85</v>
      </c>
    </row>
    <row r="31" spans="1:31" ht="24" customHeight="1">
      <c r="A31" s="86"/>
      <c r="B31" s="122">
        <v>11</v>
      </c>
      <c r="C31" s="132"/>
      <c r="D31" s="124"/>
      <c r="E31" s="133"/>
      <c r="F31" s="130"/>
      <c r="G31" s="131" t="s">
        <v>292</v>
      </c>
      <c r="H31" s="126"/>
      <c r="I31" s="127"/>
      <c r="J31" s="126"/>
      <c r="K31" s="127"/>
      <c r="L31" s="126"/>
      <c r="M31" s="127"/>
      <c r="N31" s="126"/>
      <c r="O31" s="127"/>
      <c r="P31" s="126"/>
      <c r="Q31" s="129">
        <f t="shared" si="7"/>
      </c>
      <c r="R31" s="130"/>
      <c r="S31" s="129">
        <f t="shared" si="2"/>
      </c>
      <c r="T31" s="90"/>
      <c r="V31" s="77">
        <f t="shared" si="3"/>
        <v>0</v>
      </c>
      <c r="W31" s="77">
        <f t="shared" si="0"/>
        <v>0</v>
      </c>
      <c r="X31" s="77">
        <f t="shared" si="1"/>
        <v>0</v>
      </c>
      <c r="Y31" s="77">
        <f t="shared" si="4"/>
        <v>0</v>
      </c>
      <c r="AA31" s="77">
        <f t="shared" si="5"/>
        <v>0</v>
      </c>
      <c r="AB31" s="77">
        <f t="shared" si="6"/>
        <v>0</v>
      </c>
      <c r="AC31" s="77">
        <f t="shared" si="6"/>
        <v>0</v>
      </c>
      <c r="AE31" s="77" t="s">
        <v>86</v>
      </c>
    </row>
    <row r="32" spans="1:31" ht="24" customHeight="1">
      <c r="A32" s="86"/>
      <c r="B32" s="122">
        <v>12</v>
      </c>
      <c r="C32" s="132"/>
      <c r="D32" s="124"/>
      <c r="E32" s="133"/>
      <c r="F32" s="130"/>
      <c r="G32" s="131" t="s">
        <v>292</v>
      </c>
      <c r="H32" s="126"/>
      <c r="I32" s="127"/>
      <c r="J32" s="126"/>
      <c r="K32" s="127"/>
      <c r="L32" s="126"/>
      <c r="M32" s="127"/>
      <c r="N32" s="126"/>
      <c r="O32" s="127"/>
      <c r="P32" s="126"/>
      <c r="Q32" s="129">
        <f t="shared" si="7"/>
      </c>
      <c r="R32" s="130"/>
      <c r="S32" s="129">
        <f t="shared" si="2"/>
      </c>
      <c r="T32" s="90"/>
      <c r="V32" s="77">
        <f t="shared" si="3"/>
        <v>0</v>
      </c>
      <c r="W32" s="77">
        <f t="shared" si="0"/>
        <v>0</v>
      </c>
      <c r="X32" s="77">
        <f t="shared" si="1"/>
        <v>0</v>
      </c>
      <c r="Y32" s="77">
        <f t="shared" si="4"/>
        <v>0</v>
      </c>
      <c r="AA32" s="77">
        <f t="shared" si="5"/>
        <v>0</v>
      </c>
      <c r="AB32" s="77">
        <f t="shared" si="6"/>
        <v>0</v>
      </c>
      <c r="AC32" s="77">
        <f t="shared" si="6"/>
        <v>0</v>
      </c>
      <c r="AE32" s="77" t="s">
        <v>87</v>
      </c>
    </row>
    <row r="33" spans="1:29" ht="24" customHeight="1">
      <c r="A33" s="86"/>
      <c r="B33" s="122">
        <v>13</v>
      </c>
      <c r="C33" s="132"/>
      <c r="D33" s="124"/>
      <c r="E33" s="133"/>
      <c r="F33" s="130"/>
      <c r="G33" s="131" t="s">
        <v>292</v>
      </c>
      <c r="H33" s="126"/>
      <c r="I33" s="127"/>
      <c r="J33" s="126"/>
      <c r="K33" s="127"/>
      <c r="L33" s="126"/>
      <c r="M33" s="127"/>
      <c r="N33" s="126"/>
      <c r="O33" s="127"/>
      <c r="P33" s="126"/>
      <c r="Q33" s="129">
        <f t="shared" si="7"/>
      </c>
      <c r="R33" s="130"/>
      <c r="S33" s="129">
        <f t="shared" si="2"/>
      </c>
      <c r="T33" s="90"/>
      <c r="V33" s="77">
        <f t="shared" si="3"/>
        <v>0</v>
      </c>
      <c r="W33" s="77">
        <f t="shared" si="0"/>
        <v>0</v>
      </c>
      <c r="X33" s="77">
        <f t="shared" si="1"/>
        <v>0</v>
      </c>
      <c r="Y33" s="77">
        <f t="shared" si="4"/>
        <v>0</v>
      </c>
      <c r="AA33" s="77">
        <f t="shared" si="5"/>
        <v>0</v>
      </c>
      <c r="AB33" s="77">
        <f t="shared" si="6"/>
        <v>0</v>
      </c>
      <c r="AC33" s="77">
        <f t="shared" si="6"/>
        <v>0</v>
      </c>
    </row>
    <row r="34" spans="1:31" ht="24" customHeight="1">
      <c r="A34" s="86"/>
      <c r="B34" s="122">
        <v>14</v>
      </c>
      <c r="C34" s="132"/>
      <c r="D34" s="124"/>
      <c r="E34" s="133"/>
      <c r="F34" s="130"/>
      <c r="G34" s="131" t="s">
        <v>292</v>
      </c>
      <c r="H34" s="126"/>
      <c r="I34" s="127"/>
      <c r="J34" s="126"/>
      <c r="K34" s="127"/>
      <c r="L34" s="126"/>
      <c r="M34" s="127"/>
      <c r="N34" s="126"/>
      <c r="O34" s="127"/>
      <c r="P34" s="126"/>
      <c r="Q34" s="129">
        <f t="shared" si="7"/>
      </c>
      <c r="R34" s="130"/>
      <c r="S34" s="129">
        <f t="shared" si="2"/>
      </c>
      <c r="T34" s="90"/>
      <c r="V34" s="77">
        <f t="shared" si="3"/>
        <v>0</v>
      </c>
      <c r="W34" s="77">
        <f t="shared" si="0"/>
        <v>0</v>
      </c>
      <c r="X34" s="77">
        <f t="shared" si="1"/>
        <v>0</v>
      </c>
      <c r="Y34" s="77">
        <f t="shared" si="4"/>
        <v>0</v>
      </c>
      <c r="AA34" s="77">
        <f t="shared" si="5"/>
        <v>0</v>
      </c>
      <c r="AB34" s="77">
        <f t="shared" si="6"/>
        <v>0</v>
      </c>
      <c r="AC34" s="77">
        <f t="shared" si="6"/>
        <v>0</v>
      </c>
      <c r="AE34" s="119">
        <v>41090</v>
      </c>
    </row>
    <row r="35" spans="1:68" s="100" customFormat="1" ht="19.5" customHeight="1">
      <c r="A35" s="86"/>
      <c r="B35" s="122"/>
      <c r="C35" s="134"/>
      <c r="D35" s="134"/>
      <c r="E35" s="135"/>
      <c r="F35" s="139"/>
      <c r="G35" s="140"/>
      <c r="H35" s="136"/>
      <c r="I35" s="137"/>
      <c r="J35" s="136"/>
      <c r="K35" s="137"/>
      <c r="L35" s="136"/>
      <c r="M35" s="137"/>
      <c r="N35" s="136"/>
      <c r="O35" s="137"/>
      <c r="P35" s="136"/>
      <c r="Q35" s="138"/>
      <c r="R35" s="139"/>
      <c r="S35" s="138"/>
      <c r="T35" s="90"/>
      <c r="BJ35" s="128"/>
      <c r="BK35" s="128"/>
      <c r="BL35" s="128"/>
      <c r="BM35" s="128"/>
      <c r="BN35" s="128"/>
      <c r="BO35" s="128"/>
      <c r="BP35" s="128"/>
    </row>
    <row r="36" spans="1:29" s="100" customFormat="1" ht="19.5" customHeight="1" thickBot="1">
      <c r="A36" s="86"/>
      <c r="B36" s="122"/>
      <c r="C36" s="369" t="s">
        <v>3</v>
      </c>
      <c r="D36" s="134"/>
      <c r="E36" s="135"/>
      <c r="F36" s="139"/>
      <c r="G36" s="140"/>
      <c r="H36" s="136"/>
      <c r="I36" s="141">
        <f>V36</f>
        <v>0</v>
      </c>
      <c r="J36" s="136"/>
      <c r="K36" s="141">
        <f>W36</f>
        <v>0</v>
      </c>
      <c r="L36" s="136"/>
      <c r="M36" s="141">
        <f>X36</f>
        <v>0</v>
      </c>
      <c r="N36" s="136"/>
      <c r="O36" s="311">
        <f>Z36</f>
        <v>0</v>
      </c>
      <c r="P36" s="136"/>
      <c r="Q36" s="138"/>
      <c r="R36" s="139"/>
      <c r="S36" s="138"/>
      <c r="T36" s="90"/>
      <c r="V36" s="142">
        <f>SUM(V21:V34)</f>
        <v>0</v>
      </c>
      <c r="W36" s="142">
        <f>SUM(W21:W34)</f>
        <v>0</v>
      </c>
      <c r="X36" s="142">
        <f>SUM(X21:X34)</f>
        <v>0</v>
      </c>
      <c r="Y36" s="142">
        <f>SUM(Y21:Y34)</f>
        <v>0</v>
      </c>
      <c r="AA36" s="142">
        <f>SUM(AA21:AA34)</f>
        <v>0</v>
      </c>
      <c r="AB36" s="142">
        <f>SUM(AB21:AB34)</f>
        <v>0</v>
      </c>
      <c r="AC36" s="142">
        <f>SUM(AC21:AC34)</f>
        <v>0</v>
      </c>
    </row>
    <row r="37" spans="1:27" s="100" customFormat="1" ht="19.5" customHeight="1">
      <c r="A37" s="86"/>
      <c r="B37" s="122"/>
      <c r="C37" s="134"/>
      <c r="D37" s="134"/>
      <c r="E37" s="135"/>
      <c r="F37" s="139"/>
      <c r="G37" s="140"/>
      <c r="H37" s="136"/>
      <c r="I37" s="143"/>
      <c r="J37" s="136"/>
      <c r="K37" s="143"/>
      <c r="L37" s="136"/>
      <c r="M37" s="138"/>
      <c r="N37" s="136"/>
      <c r="O37" s="138"/>
      <c r="P37" s="136"/>
      <c r="Q37" s="138"/>
      <c r="R37" s="139"/>
      <c r="S37" s="138"/>
      <c r="T37" s="90"/>
      <c r="W37" s="142"/>
      <c r="X37" s="142"/>
      <c r="Y37" s="142"/>
      <c r="Z37" s="142"/>
      <c r="AA37" s="142"/>
    </row>
    <row r="38" spans="1:68" ht="13.5" thickBot="1">
      <c r="A38" s="144"/>
      <c r="B38" s="145"/>
      <c r="C38" s="145"/>
      <c r="D38" s="145"/>
      <c r="E38" s="145"/>
      <c r="F38" s="145"/>
      <c r="G38" s="145"/>
      <c r="H38" s="145"/>
      <c r="I38" s="145"/>
      <c r="J38" s="145"/>
      <c r="K38" s="145"/>
      <c r="L38" s="145"/>
      <c r="M38" s="145"/>
      <c r="N38" s="145"/>
      <c r="O38" s="145"/>
      <c r="P38" s="145"/>
      <c r="Q38" s="145"/>
      <c r="R38" s="145"/>
      <c r="S38" s="145"/>
      <c r="T38" s="146"/>
      <c r="BJ38" s="77"/>
      <c r="BK38" s="77"/>
      <c r="BL38" s="77"/>
      <c r="BM38" s="77"/>
      <c r="BN38" s="77"/>
      <c r="BO38" s="77"/>
      <c r="BP38" s="77"/>
    </row>
    <row r="39" spans="62:68" ht="12.75">
      <c r="BJ39" s="77"/>
      <c r="BK39" s="77"/>
      <c r="BL39" s="77"/>
      <c r="BM39" s="77"/>
      <c r="BN39" s="77"/>
      <c r="BO39" s="77"/>
      <c r="BP39" s="77"/>
    </row>
    <row r="40" spans="62:68" ht="12.75">
      <c r="BJ40" s="77"/>
      <c r="BK40" s="77"/>
      <c r="BL40" s="77"/>
      <c r="BM40" s="77"/>
      <c r="BN40" s="77"/>
      <c r="BO40" s="77"/>
      <c r="BP40" s="77"/>
    </row>
    <row r="41" spans="62:68" ht="12.75">
      <c r="BJ41" s="77"/>
      <c r="BK41" s="77"/>
      <c r="BL41" s="77"/>
      <c r="BM41" s="77"/>
      <c r="BN41" s="77"/>
      <c r="BO41" s="77"/>
      <c r="BP41" s="77"/>
    </row>
    <row r="42" spans="62:68" ht="12.75">
      <c r="BJ42" s="77"/>
      <c r="BK42" s="77"/>
      <c r="BL42" s="77"/>
      <c r="BM42" s="77"/>
      <c r="BN42" s="77"/>
      <c r="BO42" s="77"/>
      <c r="BP42" s="77"/>
    </row>
    <row r="43" spans="62:68" ht="12.75">
      <c r="BJ43" s="77"/>
      <c r="BK43" s="77"/>
      <c r="BL43" s="77"/>
      <c r="BM43" s="77"/>
      <c r="BN43" s="77"/>
      <c r="BO43" s="77"/>
      <c r="BP43" s="77"/>
    </row>
    <row r="44" spans="62:68" ht="12.75">
      <c r="BJ44" s="77"/>
      <c r="BK44" s="77"/>
      <c r="BL44" s="77"/>
      <c r="BM44" s="77"/>
      <c r="BN44" s="77"/>
      <c r="BO44" s="77"/>
      <c r="BP44" s="77"/>
    </row>
    <row r="45" spans="62:68" ht="12.75">
      <c r="BJ45" s="77"/>
      <c r="BK45" s="77"/>
      <c r="BL45" s="77"/>
      <c r="BM45" s="77"/>
      <c r="BN45" s="77"/>
      <c r="BO45" s="77"/>
      <c r="BP45" s="77"/>
    </row>
    <row r="46" spans="62:68" ht="12.75">
      <c r="BJ46" s="77"/>
      <c r="BK46" s="77"/>
      <c r="BL46" s="77"/>
      <c r="BM46" s="77"/>
      <c r="BN46" s="77"/>
      <c r="BO46" s="77"/>
      <c r="BP46" s="77"/>
    </row>
    <row r="47" spans="62:68" ht="12.75">
      <c r="BJ47" s="77"/>
      <c r="BK47" s="77"/>
      <c r="BL47" s="77"/>
      <c r="BM47" s="77"/>
      <c r="BN47" s="77"/>
      <c r="BO47" s="77"/>
      <c r="BP47" s="77"/>
    </row>
    <row r="48" spans="62:68" ht="12.75">
      <c r="BJ48" s="77"/>
      <c r="BK48" s="77"/>
      <c r="BL48" s="77"/>
      <c r="BM48" s="77"/>
      <c r="BN48" s="77"/>
      <c r="BO48" s="77"/>
      <c r="BP48" s="77"/>
    </row>
    <row r="49" spans="62:68" ht="12.75">
      <c r="BJ49" s="77"/>
      <c r="BK49" s="77"/>
      <c r="BL49" s="77"/>
      <c r="BM49" s="77"/>
      <c r="BN49" s="77"/>
      <c r="BO49" s="77"/>
      <c r="BP49" s="77"/>
    </row>
    <row r="50" spans="62:68" ht="12.75">
      <c r="BJ50" s="77"/>
      <c r="BK50" s="77"/>
      <c r="BL50" s="77"/>
      <c r="BM50" s="77"/>
      <c r="BN50" s="77"/>
      <c r="BO50" s="77"/>
      <c r="BP50" s="77"/>
    </row>
    <row r="51" spans="62:68" ht="12.75">
      <c r="BJ51" s="77"/>
      <c r="BK51" s="77"/>
      <c r="BL51" s="77"/>
      <c r="BM51" s="77"/>
      <c r="BN51" s="77"/>
      <c r="BO51" s="77"/>
      <c r="BP51" s="77"/>
    </row>
    <row r="52" spans="62:68" ht="12.75">
      <c r="BJ52" s="77"/>
      <c r="BK52" s="77"/>
      <c r="BL52" s="77"/>
      <c r="BM52" s="77"/>
      <c r="BN52" s="77"/>
      <c r="BO52" s="77"/>
      <c r="BP52" s="77"/>
    </row>
    <row r="53" spans="62:68" ht="12.75">
      <c r="BJ53" s="77"/>
      <c r="BK53" s="77"/>
      <c r="BL53" s="77"/>
      <c r="BM53" s="77"/>
      <c r="BN53" s="77"/>
      <c r="BO53" s="77"/>
      <c r="BP53" s="77"/>
    </row>
    <row r="54" spans="62:68" ht="12.75">
      <c r="BJ54" s="77"/>
      <c r="BK54" s="77"/>
      <c r="BL54" s="77"/>
      <c r="BM54" s="77"/>
      <c r="BN54" s="77"/>
      <c r="BO54" s="77"/>
      <c r="BP54" s="77"/>
    </row>
    <row r="55" spans="62:68" ht="12.75">
      <c r="BJ55" s="77"/>
      <c r="BK55" s="77"/>
      <c r="BL55" s="77"/>
      <c r="BM55" s="77"/>
      <c r="BN55" s="77"/>
      <c r="BO55" s="77"/>
      <c r="BP55" s="77"/>
    </row>
    <row r="56" spans="62:68" ht="12.75">
      <c r="BJ56" s="77"/>
      <c r="BK56" s="77"/>
      <c r="BL56" s="77"/>
      <c r="BM56" s="77"/>
      <c r="BN56" s="77"/>
      <c r="BO56" s="77"/>
      <c r="BP56" s="77"/>
    </row>
    <row r="57" spans="62:68" ht="12.75">
      <c r="BJ57" s="77"/>
      <c r="BK57" s="77"/>
      <c r="BL57" s="77"/>
      <c r="BM57" s="77"/>
      <c r="BN57" s="77"/>
      <c r="BO57" s="77"/>
      <c r="BP57" s="77"/>
    </row>
    <row r="58" spans="62:68" ht="12.75">
      <c r="BJ58" s="77"/>
      <c r="BK58" s="77"/>
      <c r="BL58" s="77"/>
      <c r="BM58" s="77"/>
      <c r="BN58" s="77"/>
      <c r="BO58" s="77"/>
      <c r="BP58" s="77"/>
    </row>
    <row r="59" spans="62:68" ht="12.75">
      <c r="BJ59" s="77"/>
      <c r="BK59" s="77"/>
      <c r="BL59" s="77"/>
      <c r="BM59" s="77"/>
      <c r="BN59" s="77"/>
      <c r="BO59" s="77"/>
      <c r="BP59" s="77"/>
    </row>
    <row r="60" spans="62:68" ht="12.75">
      <c r="BJ60" s="77"/>
      <c r="BK60" s="77"/>
      <c r="BL60" s="77"/>
      <c r="BM60" s="77"/>
      <c r="BN60" s="77"/>
      <c r="BO60" s="77"/>
      <c r="BP60" s="77"/>
    </row>
    <row r="61" spans="62:68" ht="12.75">
      <c r="BJ61" s="77"/>
      <c r="BK61" s="77"/>
      <c r="BL61" s="77"/>
      <c r="BM61" s="77"/>
      <c r="BN61" s="77"/>
      <c r="BO61" s="77"/>
      <c r="BP61" s="77"/>
    </row>
    <row r="62" spans="62:68" ht="12.75">
      <c r="BJ62" s="77"/>
      <c r="BK62" s="77"/>
      <c r="BL62" s="77"/>
      <c r="BM62" s="77"/>
      <c r="BN62" s="77"/>
      <c r="BO62" s="77"/>
      <c r="BP62" s="77"/>
    </row>
    <row r="63" spans="62:68" ht="12.75">
      <c r="BJ63" s="77"/>
      <c r="BK63" s="77"/>
      <c r="BL63" s="77"/>
      <c r="BM63" s="77"/>
      <c r="BN63" s="77"/>
      <c r="BO63" s="77"/>
      <c r="BP63" s="77"/>
    </row>
    <row r="64" spans="62:68" ht="12.75">
      <c r="BJ64" s="77"/>
      <c r="BK64" s="77"/>
      <c r="BL64" s="77"/>
      <c r="BM64" s="77"/>
      <c r="BN64" s="77"/>
      <c r="BO64" s="77"/>
      <c r="BP64" s="77"/>
    </row>
    <row r="65" spans="62:68" ht="12.75">
      <c r="BJ65" s="77"/>
      <c r="BK65" s="77"/>
      <c r="BL65" s="77"/>
      <c r="BM65" s="77"/>
      <c r="BN65" s="77"/>
      <c r="BO65" s="77"/>
      <c r="BP65" s="77"/>
    </row>
    <row r="66" spans="62:68" ht="12.75">
      <c r="BJ66" s="77"/>
      <c r="BK66" s="77"/>
      <c r="BL66" s="77"/>
      <c r="BM66" s="77"/>
      <c r="BN66" s="77"/>
      <c r="BO66" s="77"/>
      <c r="BP66" s="77"/>
    </row>
    <row r="67" spans="62:68" ht="12.75">
      <c r="BJ67" s="77"/>
      <c r="BK67" s="77"/>
      <c r="BL67" s="77"/>
      <c r="BM67" s="77"/>
      <c r="BN67" s="77"/>
      <c r="BO67" s="77"/>
      <c r="BP67" s="77"/>
    </row>
    <row r="68" spans="62:68" ht="12.75">
      <c r="BJ68" s="77"/>
      <c r="BK68" s="77"/>
      <c r="BL68" s="77"/>
      <c r="BM68" s="77"/>
      <c r="BN68" s="77"/>
      <c r="BO68" s="77"/>
      <c r="BP68" s="77"/>
    </row>
    <row r="69" spans="62:68" ht="12.75">
      <c r="BJ69" s="77"/>
      <c r="BK69" s="77"/>
      <c r="BL69" s="77"/>
      <c r="BM69" s="77"/>
      <c r="BN69" s="77"/>
      <c r="BO69" s="77"/>
      <c r="BP69" s="77"/>
    </row>
    <row r="70" spans="62:68" ht="12.75">
      <c r="BJ70" s="77"/>
      <c r="BK70" s="77"/>
      <c r="BL70" s="77"/>
      <c r="BM70" s="77"/>
      <c r="BN70" s="77"/>
      <c r="BO70" s="77"/>
      <c r="BP70" s="77"/>
    </row>
    <row r="71" spans="62:68" ht="12.75">
      <c r="BJ71" s="77"/>
      <c r="BK71" s="77"/>
      <c r="BL71" s="77"/>
      <c r="BM71" s="77"/>
      <c r="BN71" s="77"/>
      <c r="BO71" s="77"/>
      <c r="BP71" s="77"/>
    </row>
    <row r="72" spans="62:68" ht="12.75">
      <c r="BJ72" s="77"/>
      <c r="BK72" s="77"/>
      <c r="BL72" s="77"/>
      <c r="BM72" s="77"/>
      <c r="BN72" s="77"/>
      <c r="BO72" s="77"/>
      <c r="BP72" s="77"/>
    </row>
    <row r="73" spans="62:68" ht="12.75">
      <c r="BJ73" s="77"/>
      <c r="BK73" s="77"/>
      <c r="BL73" s="77"/>
      <c r="BM73" s="77"/>
      <c r="BN73" s="77"/>
      <c r="BO73" s="77"/>
      <c r="BP73" s="77"/>
    </row>
    <row r="65230" ht="12.75">
      <c r="G65230" s="147"/>
    </row>
  </sheetData>
  <sheetProtection password="CA11" sheet="1" objects="1" scenarios="1"/>
  <dataValidations count="1">
    <dataValidation type="list" allowBlank="1" showInputMessage="1" showErrorMessage="1" sqref="G21:G34">
      <formula1>$AE$25:$AE$32</formula1>
    </dataValidation>
  </dataValidations>
  <printOptions horizontalCentered="1"/>
  <pageMargins left="0.25" right="0.25" top="0.5" bottom="0.5" header="0.5" footer="0.5"/>
  <pageSetup fitToHeight="1" fitToWidth="1" orientation="landscape" scale="56"/>
</worksheet>
</file>

<file path=xl/worksheets/sheet7.xml><?xml version="1.0" encoding="utf-8"?>
<worksheet xmlns="http://schemas.openxmlformats.org/spreadsheetml/2006/main" xmlns:r="http://schemas.openxmlformats.org/officeDocument/2006/relationships">
  <sheetPr>
    <pageSetUpPr fitToPage="1"/>
  </sheetPr>
  <dimension ref="A1:IM153"/>
  <sheetViews>
    <sheetView workbookViewId="0" topLeftCell="A36">
      <selection activeCell="C74" sqref="C74"/>
    </sheetView>
  </sheetViews>
  <sheetFormatPr defaultColWidth="14.77734375" defaultRowHeight="15"/>
  <cols>
    <col min="1" max="1" width="1.77734375" style="79" customWidth="1"/>
    <col min="2" max="2" width="3.77734375" style="79" customWidth="1"/>
    <col min="3" max="3" width="2.77734375" style="79" customWidth="1"/>
    <col min="4" max="4" width="17.10546875" style="79" customWidth="1"/>
    <col min="5" max="5" width="4.4453125" style="79" customWidth="1"/>
    <col min="6" max="6" width="12.77734375" style="79" customWidth="1"/>
    <col min="7" max="7" width="2.77734375" style="79" customWidth="1"/>
    <col min="8" max="8" width="13.4453125" style="79" customWidth="1"/>
    <col min="9" max="9" width="2.77734375" style="79" customWidth="1"/>
    <col min="10" max="10" width="13.77734375" style="79" customWidth="1"/>
    <col min="11" max="11" width="2.77734375" style="79" customWidth="1"/>
    <col min="12" max="12" width="13.77734375" style="79" customWidth="1"/>
    <col min="13" max="13" width="2.77734375" style="79" customWidth="1"/>
    <col min="14" max="14" width="16.88671875" style="79" customWidth="1"/>
    <col min="15" max="15" width="2.77734375" style="79" customWidth="1"/>
    <col min="16" max="16" width="14.99609375" style="79" customWidth="1"/>
    <col min="17" max="17" width="2.77734375" style="79" customWidth="1"/>
    <col min="18" max="18" width="14.99609375" style="79" customWidth="1"/>
    <col min="19" max="19" width="3.77734375" style="79" customWidth="1"/>
    <col min="20" max="20" width="6.10546875" style="79" customWidth="1"/>
    <col min="21" max="23" width="10.99609375" style="79" hidden="1" customWidth="1"/>
    <col min="24" max="24" width="8.4453125" style="79" hidden="1" customWidth="1"/>
    <col min="25" max="25" width="9.21484375" style="79" customWidth="1"/>
    <col min="26" max="26" width="12.4453125" style="79" customWidth="1"/>
    <col min="27" max="28" width="13.6640625" style="79" customWidth="1"/>
    <col min="29" max="29" width="3.77734375" style="79" customWidth="1"/>
    <col min="30" max="30" width="2.77734375" style="79" customWidth="1"/>
    <col min="31" max="31" width="15.77734375" style="79" customWidth="1"/>
    <col min="32" max="32" width="3.77734375" style="79" customWidth="1"/>
    <col min="33" max="33" width="12.77734375" style="79" customWidth="1"/>
    <col min="34" max="34" width="2.77734375" style="79" customWidth="1"/>
    <col min="35" max="35" width="12.77734375" style="79" customWidth="1"/>
    <col min="36" max="36" width="2.77734375" style="79" customWidth="1"/>
    <col min="37" max="37" width="12.77734375" style="79" customWidth="1"/>
    <col min="38" max="38" width="2.77734375" style="79" customWidth="1"/>
    <col min="39" max="39" width="12.77734375" style="79" customWidth="1"/>
    <col min="40" max="40" width="2.77734375" style="79" customWidth="1"/>
    <col min="41" max="41" width="12.77734375" style="79" customWidth="1"/>
    <col min="42" max="42" width="2.77734375" style="79" customWidth="1"/>
    <col min="43" max="43" width="14.77734375" style="79" customWidth="1"/>
    <col min="44" max="44" width="2.77734375" style="79" customWidth="1"/>
    <col min="45" max="45" width="14.77734375" style="79" customWidth="1"/>
    <col min="46" max="46" width="2.77734375" style="79" customWidth="1"/>
    <col min="47" max="16384" width="14.77734375" style="79" customWidth="1"/>
  </cols>
  <sheetData>
    <row r="1" spans="1:19" s="4" customFormat="1" ht="23.25" customHeight="1">
      <c r="A1" s="3" t="s">
        <v>372</v>
      </c>
      <c r="B1" s="3"/>
      <c r="C1" s="3"/>
      <c r="D1" s="3"/>
      <c r="E1" s="3"/>
      <c r="F1" s="3"/>
      <c r="G1" s="3"/>
      <c r="H1" s="3"/>
      <c r="I1" s="3"/>
      <c r="J1" s="3"/>
      <c r="K1" s="3"/>
      <c r="L1" s="3"/>
      <c r="M1" s="3"/>
      <c r="N1" s="3"/>
      <c r="O1" s="3"/>
      <c r="P1" s="3"/>
      <c r="Q1" s="3"/>
      <c r="R1" s="3"/>
      <c r="S1" s="3"/>
    </row>
    <row r="2" spans="1:19" s="4" customFormat="1" ht="23.25" customHeight="1">
      <c r="A2" s="3" t="s">
        <v>405</v>
      </c>
      <c r="B2" s="3"/>
      <c r="C2" s="3"/>
      <c r="D2" s="3"/>
      <c r="E2" s="3"/>
      <c r="F2" s="3"/>
      <c r="G2" s="3"/>
      <c r="H2" s="3"/>
      <c r="I2" s="3"/>
      <c r="J2" s="3"/>
      <c r="K2" s="3"/>
      <c r="L2" s="3"/>
      <c r="M2" s="3"/>
      <c r="N2" s="3"/>
      <c r="O2" s="3"/>
      <c r="P2" s="3"/>
      <c r="Q2" s="3"/>
      <c r="R2" s="3"/>
      <c r="S2" s="3"/>
    </row>
    <row r="3" spans="1:247" s="4" customFormat="1" ht="24" customHeight="1">
      <c r="A3" s="3" t="s">
        <v>357</v>
      </c>
      <c r="B3" s="3"/>
      <c r="C3" s="3"/>
      <c r="D3" s="3"/>
      <c r="E3" s="3"/>
      <c r="F3" s="3"/>
      <c r="G3" s="3"/>
      <c r="H3" s="3"/>
      <c r="I3" s="3"/>
      <c r="J3" s="3"/>
      <c r="K3" s="3"/>
      <c r="L3" s="3"/>
      <c r="M3" s="3"/>
      <c r="N3" s="3"/>
      <c r="O3" s="3"/>
      <c r="P3" s="3"/>
      <c r="Q3" s="3"/>
      <c r="R3" s="3"/>
      <c r="S3" s="3"/>
      <c r="T3" s="5"/>
      <c r="U3" s="5"/>
      <c r="V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row>
    <row r="4" spans="2:16" ht="24.75" customHeight="1">
      <c r="B4" s="153" t="s">
        <v>263</v>
      </c>
      <c r="C4" s="153"/>
      <c r="D4" s="153"/>
      <c r="E4" s="463" t="str">
        <f>'Summary Tab'!A1</f>
        <v>"Master Template" School District</v>
      </c>
      <c r="F4" s="464"/>
      <c r="G4" s="464"/>
      <c r="H4" s="464"/>
      <c r="I4" s="464"/>
      <c r="J4" s="464"/>
      <c r="K4" s="464"/>
      <c r="L4" s="464"/>
      <c r="M4" s="464"/>
      <c r="N4" s="464"/>
      <c r="O4" s="464"/>
      <c r="P4" s="464"/>
    </row>
    <row r="5" spans="5:16" ht="13.5" customHeight="1">
      <c r="E5" s="154"/>
      <c r="F5" s="154"/>
      <c r="G5" s="154"/>
      <c r="H5" s="154"/>
      <c r="I5" s="154"/>
      <c r="J5" s="154"/>
      <c r="K5" s="154"/>
      <c r="L5" s="154"/>
      <c r="M5" s="154"/>
      <c r="N5" s="154"/>
      <c r="O5" s="154"/>
      <c r="P5" s="154"/>
    </row>
    <row r="6" spans="1:19" ht="24.75" customHeight="1" thickBot="1">
      <c r="A6" s="155" t="s">
        <v>177</v>
      </c>
      <c r="B6" s="156"/>
      <c r="C6" s="156"/>
      <c r="D6" s="156"/>
      <c r="E6" s="156"/>
      <c r="F6" s="156"/>
      <c r="G6" s="156"/>
      <c r="H6" s="156"/>
      <c r="I6" s="156"/>
      <c r="J6" s="156"/>
      <c r="K6" s="156"/>
      <c r="L6" s="156"/>
      <c r="M6" s="156"/>
      <c r="N6" s="156"/>
      <c r="O6" s="156"/>
      <c r="P6" s="156"/>
      <c r="Q6" s="156"/>
      <c r="R6" s="156"/>
      <c r="S6" s="157"/>
    </row>
    <row r="7" spans="1:19" ht="13.5" customHeight="1">
      <c r="A7" s="158"/>
      <c r="D7" s="159"/>
      <c r="E7" s="159"/>
      <c r="F7" s="159"/>
      <c r="G7" s="159"/>
      <c r="H7" s="159"/>
      <c r="I7" s="159"/>
      <c r="J7" s="159"/>
      <c r="K7" s="159"/>
      <c r="L7" s="159"/>
      <c r="M7" s="159"/>
      <c r="N7" s="160" t="s">
        <v>295</v>
      </c>
      <c r="O7" s="159"/>
      <c r="P7" s="161"/>
      <c r="Q7" s="162"/>
      <c r="R7" s="163" t="s">
        <v>296</v>
      </c>
      <c r="S7" s="164"/>
    </row>
    <row r="8" spans="1:19" ht="13.5" customHeight="1">
      <c r="A8" s="158"/>
      <c r="D8" s="162"/>
      <c r="E8" s="162"/>
      <c r="F8" s="163" t="s">
        <v>297</v>
      </c>
      <c r="G8" s="162"/>
      <c r="H8" s="163" t="s">
        <v>200</v>
      </c>
      <c r="I8" s="162"/>
      <c r="J8" s="163" t="s">
        <v>201</v>
      </c>
      <c r="K8" s="162"/>
      <c r="L8" s="163" t="s">
        <v>202</v>
      </c>
      <c r="M8" s="162"/>
      <c r="N8" s="160" t="s">
        <v>104</v>
      </c>
      <c r="O8" s="162"/>
      <c r="P8" s="163" t="s">
        <v>41</v>
      </c>
      <c r="Q8" s="162"/>
      <c r="R8" s="163" t="s">
        <v>202</v>
      </c>
      <c r="S8" s="164"/>
    </row>
    <row r="9" spans="1:19" ht="13.5" customHeight="1">
      <c r="A9" s="158"/>
      <c r="D9" s="165" t="s">
        <v>265</v>
      </c>
      <c r="E9" s="162"/>
      <c r="F9" s="166" t="s">
        <v>293</v>
      </c>
      <c r="G9" s="162"/>
      <c r="H9" s="166" t="s">
        <v>188</v>
      </c>
      <c r="I9" s="162"/>
      <c r="J9" s="166" t="s">
        <v>355</v>
      </c>
      <c r="K9" s="159"/>
      <c r="L9" s="166" t="s">
        <v>293</v>
      </c>
      <c r="M9" s="159"/>
      <c r="N9" s="167" t="s">
        <v>356</v>
      </c>
      <c r="O9" s="168"/>
      <c r="P9" s="166" t="s">
        <v>42</v>
      </c>
      <c r="Q9" s="162"/>
      <c r="R9" s="166" t="s">
        <v>293</v>
      </c>
      <c r="S9" s="164"/>
    </row>
    <row r="10" spans="1:19" ht="13.5" customHeight="1">
      <c r="A10" s="158"/>
      <c r="S10" s="164"/>
    </row>
    <row r="11" spans="1:25" ht="16.5" customHeight="1">
      <c r="A11" s="169">
        <v>1</v>
      </c>
      <c r="C11" s="170">
        <f>IF(L11=$L$27,1,0)</f>
        <v>0</v>
      </c>
      <c r="D11" s="171">
        <v>40390</v>
      </c>
      <c r="E11" s="172"/>
      <c r="F11" s="173">
        <f>'10-11'!B$9</f>
        <v>3134571.85</v>
      </c>
      <c r="H11" s="174">
        <f>'10-11'!B$24</f>
        <v>679361.65</v>
      </c>
      <c r="J11" s="174">
        <f>'10-11'!B$39-'10-11'!$B$10-'10-11'!$B$11</f>
        <v>1156703.61</v>
      </c>
      <c r="L11" s="173">
        <f>F11-J11+H11</f>
        <v>2657229.89</v>
      </c>
      <c r="N11" s="175" t="s">
        <v>148</v>
      </c>
      <c r="P11" s="176">
        <f>'10-11'!B$44</f>
        <v>0</v>
      </c>
      <c r="R11" s="173">
        <f>P11+L11</f>
        <v>2657229.89</v>
      </c>
      <c r="S11" s="164"/>
      <c r="U11" s="79">
        <f aca="true" t="shared" si="0" ref="U11:U23">IF(F11&gt;0,F11,0)</f>
        <v>3134571.85</v>
      </c>
      <c r="V11" s="79">
        <f aca="true" t="shared" si="1" ref="V11:V23">IF(L11&gt;0,L11,0)</f>
        <v>2657229.89</v>
      </c>
      <c r="W11" s="260">
        <f aca="true" t="shared" si="2" ref="W11:W23">IF(N11="A",L11,"")</f>
        <v>2657229.89</v>
      </c>
      <c r="X11" s="77"/>
      <c r="Y11" s="77"/>
    </row>
    <row r="12" spans="1:25" ht="16.5" customHeight="1">
      <c r="A12" s="169">
        <f>A11+1</f>
        <v>2</v>
      </c>
      <c r="C12" s="170">
        <f aca="true" t="shared" si="3" ref="C12:C23">IF(L12=$L$27,1,0)</f>
        <v>0</v>
      </c>
      <c r="D12" s="171">
        <f>EOMONTH(D11,1)</f>
        <v>40421</v>
      </c>
      <c r="E12" s="177"/>
      <c r="F12" s="173">
        <f>'10-11'!C$9</f>
        <v>2657229.8899999997</v>
      </c>
      <c r="G12" s="178"/>
      <c r="H12" s="174">
        <f>'10-11'!C$24</f>
        <v>4580990.3</v>
      </c>
      <c r="I12" s="178"/>
      <c r="J12" s="174">
        <f>'10-11'!C$39-'10-11'!$C$10-'10-11'!$C$11</f>
        <v>5643830.119999999</v>
      </c>
      <c r="K12" s="178"/>
      <c r="L12" s="179">
        <f aca="true" t="shared" si="4" ref="L12:L22">F12-J12+H12</f>
        <v>1594390.0700000003</v>
      </c>
      <c r="N12" s="180" t="s">
        <v>148</v>
      </c>
      <c r="P12" s="176">
        <f>'10-11'!C$44</f>
        <v>0</v>
      </c>
      <c r="R12" s="181">
        <f aca="true" t="shared" si="5" ref="R12:R22">R11+H12-J12+P12</f>
        <v>1594390.0700000003</v>
      </c>
      <c r="S12" s="164"/>
      <c r="U12" s="79">
        <f t="shared" si="0"/>
        <v>2657229.8899999997</v>
      </c>
      <c r="V12" s="79">
        <f t="shared" si="1"/>
        <v>1594390.0700000003</v>
      </c>
      <c r="W12" s="260">
        <f t="shared" si="2"/>
        <v>1594390.0700000003</v>
      </c>
      <c r="X12" s="77"/>
      <c r="Y12" s="77"/>
    </row>
    <row r="13" spans="1:25" ht="16.5" customHeight="1">
      <c r="A13" s="169">
        <f aca="true" t="shared" si="6" ref="A13:A23">A12+1</f>
        <v>3</v>
      </c>
      <c r="C13" s="170">
        <f t="shared" si="3"/>
        <v>1</v>
      </c>
      <c r="D13" s="171">
        <f>EOMONTH(D12,1)</f>
        <v>40451</v>
      </c>
      <c r="E13" s="177"/>
      <c r="F13" s="173">
        <f>'10-11'!D$9</f>
        <v>1594390.0700000003</v>
      </c>
      <c r="G13" s="178"/>
      <c r="H13" s="174">
        <f>'10-11'!D$24</f>
        <v>1363603.5200000003</v>
      </c>
      <c r="I13" s="178"/>
      <c r="J13" s="174">
        <f>'10-11'!D$39-'10-11'!$D$10-'10-11'!$D$11</f>
        <v>3618319.45</v>
      </c>
      <c r="K13" s="178"/>
      <c r="L13" s="179">
        <f t="shared" si="4"/>
        <v>-660325.8599999996</v>
      </c>
      <c r="N13" s="180" t="s">
        <v>148</v>
      </c>
      <c r="P13" s="176">
        <f>'10-11'!D$44</f>
        <v>0</v>
      </c>
      <c r="R13" s="181">
        <f t="shared" si="5"/>
        <v>-660325.8599999994</v>
      </c>
      <c r="S13" s="164"/>
      <c r="U13" s="79">
        <f t="shared" si="0"/>
        <v>1594390.0700000003</v>
      </c>
      <c r="V13" s="79">
        <f t="shared" si="1"/>
        <v>0</v>
      </c>
      <c r="W13" s="260">
        <f t="shared" si="2"/>
        <v>-660325.8599999996</v>
      </c>
      <c r="X13" s="77"/>
      <c r="Y13" s="77"/>
    </row>
    <row r="14" spans="1:25" ht="16.5" customHeight="1">
      <c r="A14" s="169">
        <f t="shared" si="6"/>
        <v>4</v>
      </c>
      <c r="C14" s="170">
        <f t="shared" si="3"/>
        <v>0</v>
      </c>
      <c r="D14" s="171">
        <f aca="true" t="shared" si="7" ref="D14:D23">EOMONTH(D13,1)</f>
        <v>40482</v>
      </c>
      <c r="E14" s="177"/>
      <c r="F14" s="173">
        <f>'10-11'!E$9</f>
        <v>-660325.8599999994</v>
      </c>
      <c r="G14" s="178"/>
      <c r="H14" s="174">
        <f>'10-11'!E$24</f>
        <v>4616728.64</v>
      </c>
      <c r="I14" s="178"/>
      <c r="J14" s="174">
        <f>'10-11'!E$39-'10-11'!$E$10-'10-11'!$E$11</f>
        <v>3618738.8899999997</v>
      </c>
      <c r="K14" s="178"/>
      <c r="L14" s="179">
        <f t="shared" si="4"/>
        <v>337663.8900000006</v>
      </c>
      <c r="N14" s="180" t="s">
        <v>148</v>
      </c>
      <c r="P14" s="176">
        <f>'10-11'!E$44</f>
        <v>0</v>
      </c>
      <c r="R14" s="181">
        <f t="shared" si="5"/>
        <v>337663.8900000006</v>
      </c>
      <c r="S14" s="164"/>
      <c r="U14" s="79">
        <f t="shared" si="0"/>
        <v>0</v>
      </c>
      <c r="V14" s="79">
        <f t="shared" si="1"/>
        <v>337663.8900000006</v>
      </c>
      <c r="W14" s="260">
        <f t="shared" si="2"/>
        <v>337663.8900000006</v>
      </c>
      <c r="X14" s="77"/>
      <c r="Y14" s="77"/>
    </row>
    <row r="15" spans="1:25" ht="16.5" customHeight="1">
      <c r="A15" s="169">
        <f t="shared" si="6"/>
        <v>5</v>
      </c>
      <c r="C15" s="170">
        <f t="shared" si="3"/>
        <v>0</v>
      </c>
      <c r="D15" s="171">
        <f t="shared" si="7"/>
        <v>40512</v>
      </c>
      <c r="E15" s="177"/>
      <c r="F15" s="173">
        <f>'10-11'!F$9</f>
        <v>337663.8900000006</v>
      </c>
      <c r="G15" s="178"/>
      <c r="H15" s="174">
        <f>'10-11'!F$24</f>
        <v>4552444.98</v>
      </c>
      <c r="I15" s="178"/>
      <c r="J15" s="174">
        <f>'10-11'!F$39-'10-11'!$F$10-'10-11'!$F$11</f>
        <v>3339689.12</v>
      </c>
      <c r="K15" s="178"/>
      <c r="L15" s="179">
        <f t="shared" si="4"/>
        <v>1550419.750000001</v>
      </c>
      <c r="N15" s="180" t="s">
        <v>148</v>
      </c>
      <c r="P15" s="176">
        <f>'10-11'!F$44</f>
        <v>0</v>
      </c>
      <c r="R15" s="181">
        <f t="shared" si="5"/>
        <v>1550419.750000001</v>
      </c>
      <c r="S15" s="164"/>
      <c r="U15" s="79">
        <f t="shared" si="0"/>
        <v>337663.8900000006</v>
      </c>
      <c r="V15" s="79">
        <f t="shared" si="1"/>
        <v>1550419.750000001</v>
      </c>
      <c r="W15" s="260">
        <f t="shared" si="2"/>
        <v>1550419.750000001</v>
      </c>
      <c r="X15" s="77"/>
      <c r="Y15" s="77"/>
    </row>
    <row r="16" spans="1:25" ht="16.5" customHeight="1">
      <c r="A16" s="169">
        <f t="shared" si="6"/>
        <v>6</v>
      </c>
      <c r="C16" s="170">
        <f t="shared" si="3"/>
        <v>0</v>
      </c>
      <c r="D16" s="182">
        <v>40527</v>
      </c>
      <c r="E16" s="183"/>
      <c r="F16" s="173">
        <f>'10-11'!G$9</f>
        <v>1550419.750000001</v>
      </c>
      <c r="G16" s="178"/>
      <c r="H16" s="174">
        <f>'10-11'!G$24</f>
        <v>7128004.039999999</v>
      </c>
      <c r="I16" s="178"/>
      <c r="J16" s="174">
        <f>'10-11'!G$39-'10-11'!$G$10-'10-11'!$G$11</f>
        <v>3241786.3500000006</v>
      </c>
      <c r="K16" s="178"/>
      <c r="L16" s="179">
        <f t="shared" si="4"/>
        <v>5436637.4399999995</v>
      </c>
      <c r="N16" s="180" t="s">
        <v>148</v>
      </c>
      <c r="P16" s="176">
        <f>'10-11'!G$44</f>
        <v>0</v>
      </c>
      <c r="R16" s="181">
        <f t="shared" si="5"/>
        <v>5436637.439999999</v>
      </c>
      <c r="S16" s="164"/>
      <c r="U16" s="79">
        <f t="shared" si="0"/>
        <v>1550419.750000001</v>
      </c>
      <c r="V16" s="79">
        <f t="shared" si="1"/>
        <v>5436637.4399999995</v>
      </c>
      <c r="W16" s="260">
        <f t="shared" si="2"/>
        <v>5436637.4399999995</v>
      </c>
      <c r="X16" s="77"/>
      <c r="Y16" s="77"/>
    </row>
    <row r="17" spans="1:25" ht="16.5" customHeight="1">
      <c r="A17" s="169"/>
      <c r="C17" s="170">
        <f t="shared" si="3"/>
        <v>0</v>
      </c>
      <c r="D17" s="171">
        <f>EOMONTH(D15,1)</f>
        <v>40543</v>
      </c>
      <c r="E17" s="183"/>
      <c r="F17" s="173">
        <f>'10-11'!H$9</f>
        <v>5436637.439999999</v>
      </c>
      <c r="G17" s="178"/>
      <c r="H17" s="174">
        <f>'10-11'!H$24</f>
        <v>0</v>
      </c>
      <c r="I17" s="178"/>
      <c r="J17" s="174">
        <f>'10-11'!H$39-'10-11'!$H$10-'10-11'!$H$11</f>
        <v>0</v>
      </c>
      <c r="K17" s="178"/>
      <c r="L17" s="179">
        <f t="shared" si="4"/>
        <v>5436637.439999999</v>
      </c>
      <c r="N17" s="180" t="s">
        <v>148</v>
      </c>
      <c r="P17" s="176">
        <f>'10-11'!H$44</f>
        <v>0</v>
      </c>
      <c r="R17" s="181">
        <f t="shared" si="5"/>
        <v>5436637.439999999</v>
      </c>
      <c r="S17" s="164"/>
      <c r="U17" s="79">
        <f t="shared" si="0"/>
        <v>5436637.439999999</v>
      </c>
      <c r="V17" s="79">
        <f t="shared" si="1"/>
        <v>5436637.439999999</v>
      </c>
      <c r="W17" s="260">
        <f t="shared" si="2"/>
        <v>5436637.439999999</v>
      </c>
      <c r="X17" s="77"/>
      <c r="Y17" s="77"/>
    </row>
    <row r="18" spans="1:25" ht="16.5" customHeight="1">
      <c r="A18" s="169">
        <f>A16+1</f>
        <v>7</v>
      </c>
      <c r="C18" s="170">
        <f t="shared" si="3"/>
        <v>0</v>
      </c>
      <c r="D18" s="171">
        <f t="shared" si="7"/>
        <v>40574</v>
      </c>
      <c r="E18" s="177"/>
      <c r="F18" s="173">
        <f>'10-11'!I$9</f>
        <v>5436637.439999999</v>
      </c>
      <c r="G18" s="178"/>
      <c r="H18" s="174">
        <f>'10-11'!I$24</f>
        <v>3635946.2300000004</v>
      </c>
      <c r="I18" s="178"/>
      <c r="J18" s="174">
        <f>'10-11'!I$39-'10-11'!$I$10-'10-11'!$I$11</f>
        <v>3546789.05</v>
      </c>
      <c r="K18" s="178"/>
      <c r="L18" s="179">
        <f t="shared" si="4"/>
        <v>5525794.619999999</v>
      </c>
      <c r="N18" s="180" t="s">
        <v>148</v>
      </c>
      <c r="P18" s="176">
        <f>'10-11'!I$44</f>
        <v>0</v>
      </c>
      <c r="R18" s="181">
        <f>R17+H18-J18+P18</f>
        <v>5525794.619999998</v>
      </c>
      <c r="S18" s="164"/>
      <c r="U18" s="79">
        <f t="shared" si="0"/>
        <v>5436637.439999999</v>
      </c>
      <c r="V18" s="79">
        <f t="shared" si="1"/>
        <v>5525794.619999999</v>
      </c>
      <c r="W18" s="260">
        <f t="shared" si="2"/>
        <v>5525794.619999999</v>
      </c>
      <c r="X18" s="77"/>
      <c r="Y18" s="77"/>
    </row>
    <row r="19" spans="1:25" ht="16.5" customHeight="1">
      <c r="A19" s="169">
        <f t="shared" si="6"/>
        <v>8</v>
      </c>
      <c r="C19" s="170">
        <f t="shared" si="3"/>
        <v>0</v>
      </c>
      <c r="D19" s="171">
        <f t="shared" si="7"/>
        <v>40602</v>
      </c>
      <c r="E19" s="177"/>
      <c r="F19" s="173">
        <f>'10-11'!J$9</f>
        <v>5525794.619999998</v>
      </c>
      <c r="G19" s="178"/>
      <c r="H19" s="174">
        <f>'10-11'!J$24</f>
        <v>-430339.29000000004</v>
      </c>
      <c r="I19" s="178"/>
      <c r="J19" s="174">
        <f>'10-11'!J$39-'10-11'!$J$10-'10-11'!$J$11</f>
        <v>2417564.9499999993</v>
      </c>
      <c r="K19" s="178"/>
      <c r="L19" s="179">
        <f t="shared" si="4"/>
        <v>2677890.379999999</v>
      </c>
      <c r="N19" s="180" t="s">
        <v>148</v>
      </c>
      <c r="P19" s="176">
        <f>'10-11'!J$44</f>
        <v>0</v>
      </c>
      <c r="R19" s="181">
        <f t="shared" si="5"/>
        <v>2677890.379999999</v>
      </c>
      <c r="S19" s="164"/>
      <c r="U19" s="79">
        <f t="shared" si="0"/>
        <v>5525794.619999998</v>
      </c>
      <c r="V19" s="79">
        <f t="shared" si="1"/>
        <v>2677890.379999999</v>
      </c>
      <c r="W19" s="260">
        <f t="shared" si="2"/>
        <v>2677890.379999999</v>
      </c>
      <c r="X19" s="77"/>
      <c r="Y19" s="77"/>
    </row>
    <row r="20" spans="1:25" ht="16.5" customHeight="1">
      <c r="A20" s="169">
        <f t="shared" si="6"/>
        <v>9</v>
      </c>
      <c r="C20" s="170">
        <f t="shared" si="3"/>
        <v>0</v>
      </c>
      <c r="D20" s="171">
        <f t="shared" si="7"/>
        <v>40633</v>
      </c>
      <c r="E20" s="177"/>
      <c r="F20" s="173">
        <f>'10-11'!K$9</f>
        <v>2677890.379999999</v>
      </c>
      <c r="G20" s="178"/>
      <c r="H20" s="174">
        <f>'10-11'!K$24</f>
        <v>3331159.25</v>
      </c>
      <c r="I20" s="178"/>
      <c r="J20" s="174">
        <f>'10-11'!K$39-'10-11'!$K$10-'10-11'!$K$11</f>
        <v>3306292.9600000004</v>
      </c>
      <c r="K20" s="178"/>
      <c r="L20" s="179">
        <f t="shared" si="4"/>
        <v>2702756.6699999985</v>
      </c>
      <c r="N20" s="180" t="s">
        <v>148</v>
      </c>
      <c r="P20" s="176">
        <f>'10-11'!K$44</f>
        <v>0</v>
      </c>
      <c r="R20" s="181">
        <f t="shared" si="5"/>
        <v>2702756.6699999985</v>
      </c>
      <c r="S20" s="164"/>
      <c r="U20" s="79">
        <f t="shared" si="0"/>
        <v>2677890.379999999</v>
      </c>
      <c r="V20" s="79">
        <f t="shared" si="1"/>
        <v>2702756.6699999985</v>
      </c>
      <c r="W20" s="260">
        <f t="shared" si="2"/>
        <v>2702756.6699999985</v>
      </c>
      <c r="X20" s="77"/>
      <c r="Y20" s="77"/>
    </row>
    <row r="21" spans="1:25" ht="16.5" customHeight="1">
      <c r="A21" s="169">
        <f t="shared" si="6"/>
        <v>10</v>
      </c>
      <c r="C21" s="170">
        <f t="shared" si="3"/>
        <v>0</v>
      </c>
      <c r="D21" s="171">
        <f t="shared" si="7"/>
        <v>40663</v>
      </c>
      <c r="E21" s="177"/>
      <c r="F21" s="173">
        <f>'10-11'!L$9</f>
        <v>2702756.6699999985</v>
      </c>
      <c r="G21" s="178"/>
      <c r="H21" s="174">
        <f>'10-11'!L$24</f>
        <v>6352887.760000001</v>
      </c>
      <c r="I21" s="178"/>
      <c r="J21" s="174">
        <f>'10-11'!L$39-'10-11'!$L$10-'10-11'!$L$11</f>
        <v>3346750.8200000003</v>
      </c>
      <c r="K21" s="178"/>
      <c r="L21" s="179">
        <f t="shared" si="4"/>
        <v>5708893.609999999</v>
      </c>
      <c r="N21" s="180" t="s">
        <v>148</v>
      </c>
      <c r="P21" s="176">
        <f>'10-11'!L$44</f>
        <v>0</v>
      </c>
      <c r="R21" s="181">
        <f t="shared" si="5"/>
        <v>5708893.609999999</v>
      </c>
      <c r="S21" s="164"/>
      <c r="U21" s="79">
        <f t="shared" si="0"/>
        <v>2702756.6699999985</v>
      </c>
      <c r="V21" s="79">
        <f t="shared" si="1"/>
        <v>5708893.609999999</v>
      </c>
      <c r="W21" s="260">
        <f t="shared" si="2"/>
        <v>5708893.609999999</v>
      </c>
      <c r="X21" s="77"/>
      <c r="Y21" s="77"/>
    </row>
    <row r="22" spans="1:25" ht="16.5" customHeight="1">
      <c r="A22" s="169">
        <f t="shared" si="6"/>
        <v>11</v>
      </c>
      <c r="C22" s="170">
        <f t="shared" si="3"/>
        <v>0</v>
      </c>
      <c r="D22" s="171">
        <f t="shared" si="7"/>
        <v>40694</v>
      </c>
      <c r="E22" s="177"/>
      <c r="F22" s="173">
        <f>'10-11'!M$9</f>
        <v>5708893.609999999</v>
      </c>
      <c r="G22" s="178"/>
      <c r="H22" s="174">
        <f>'10-11'!M$24</f>
        <v>-2972221.92</v>
      </c>
      <c r="I22" s="178"/>
      <c r="J22" s="174">
        <f>'10-11'!M$39-'10-11'!$M$10-'10-11'!$M$11</f>
        <v>-607680.5300000001</v>
      </c>
      <c r="K22" s="178"/>
      <c r="L22" s="179">
        <f t="shared" si="4"/>
        <v>3344352.2199999997</v>
      </c>
      <c r="N22" s="180" t="s">
        <v>148</v>
      </c>
      <c r="P22" s="176">
        <f>'10-11'!M$44</f>
        <v>0</v>
      </c>
      <c r="R22" s="181">
        <f t="shared" si="5"/>
        <v>3344352.2199999997</v>
      </c>
      <c r="S22" s="164"/>
      <c r="U22" s="79">
        <f t="shared" si="0"/>
        <v>5708893.609999999</v>
      </c>
      <c r="V22" s="79">
        <f t="shared" si="1"/>
        <v>3344352.2199999997</v>
      </c>
      <c r="W22" s="260">
        <f t="shared" si="2"/>
        <v>3344352.2199999997</v>
      </c>
      <c r="X22" s="77"/>
      <c r="Y22" s="77"/>
    </row>
    <row r="23" spans="1:25" ht="16.5" customHeight="1">
      <c r="A23" s="169">
        <f t="shared" si="6"/>
        <v>12</v>
      </c>
      <c r="C23" s="170">
        <f t="shared" si="3"/>
        <v>0</v>
      </c>
      <c r="D23" s="171">
        <f t="shared" si="7"/>
        <v>40724</v>
      </c>
      <c r="E23" s="177"/>
      <c r="F23" s="173">
        <f>'10-11'!N$9</f>
        <v>3344352.2199999997</v>
      </c>
      <c r="G23" s="178"/>
      <c r="H23" s="174">
        <f>'10-11'!N$24</f>
        <v>2878076.2999999993</v>
      </c>
      <c r="I23" s="178"/>
      <c r="J23" s="174">
        <f>'10-11'!N$39-'10-11'!$N$10-'10-11'!$N$11</f>
        <v>2714419.4199999995</v>
      </c>
      <c r="K23" s="178"/>
      <c r="L23" s="179">
        <f>F23-J23+H23</f>
        <v>3508009.0999999996</v>
      </c>
      <c r="N23" s="180" t="s">
        <v>148</v>
      </c>
      <c r="P23" s="176">
        <f>'10-11'!N$44</f>
        <v>0</v>
      </c>
      <c r="R23" s="181">
        <f>R22+H23-J23+P23</f>
        <v>3508009.1</v>
      </c>
      <c r="S23" s="184" t="s">
        <v>354</v>
      </c>
      <c r="U23" s="79">
        <f t="shared" si="0"/>
        <v>3344352.2199999997</v>
      </c>
      <c r="V23" s="79">
        <f t="shared" si="1"/>
        <v>3508009.0999999996</v>
      </c>
      <c r="W23" s="260">
        <f t="shared" si="2"/>
        <v>3508009.0999999996</v>
      </c>
      <c r="X23" s="77"/>
      <c r="Y23" s="77"/>
    </row>
    <row r="24" spans="1:25" ht="12.75">
      <c r="A24" s="158"/>
      <c r="C24" s="170"/>
      <c r="D24" s="177"/>
      <c r="E24" s="177"/>
      <c r="H24" s="185"/>
      <c r="J24" s="185"/>
      <c r="S24" s="164"/>
      <c r="X24" s="77"/>
      <c r="Y24" s="77"/>
    </row>
    <row r="25" spans="1:25" ht="16.5" customHeight="1" thickBot="1">
      <c r="A25" s="158"/>
      <c r="C25" s="170">
        <f>SUM(C11:C23)</f>
        <v>1</v>
      </c>
      <c r="D25" s="186" t="s">
        <v>149</v>
      </c>
      <c r="E25" s="177"/>
      <c r="H25" s="187">
        <f>SUM(H11:H23)</f>
        <v>35716641.45999999</v>
      </c>
      <c r="J25" s="187">
        <f>SUM(J11:J23)</f>
        <v>35343204.21</v>
      </c>
      <c r="N25" s="177"/>
      <c r="Q25" s="188"/>
      <c r="R25" s="189"/>
      <c r="S25" s="164"/>
      <c r="U25" s="79">
        <f>SUM(U11:U23)/12</f>
        <v>3342269.819166666</v>
      </c>
      <c r="V25" s="79">
        <f>SUM(V11:V23)/12</f>
        <v>3373389.59</v>
      </c>
      <c r="W25" s="190">
        <f>MIN(W11:W23)</f>
        <v>-660325.8599999996</v>
      </c>
      <c r="X25" s="77"/>
      <c r="Y25" s="77"/>
    </row>
    <row r="26" spans="1:19" ht="12.75">
      <c r="A26" s="158"/>
      <c r="D26" s="186"/>
      <c r="E26" s="177"/>
      <c r="H26" s="191"/>
      <c r="J26" s="191"/>
      <c r="S26" s="164"/>
    </row>
    <row r="27" spans="1:19" ht="13.5" thickBot="1">
      <c r="A27" s="158"/>
      <c r="D27" s="192" t="s">
        <v>247</v>
      </c>
      <c r="E27" s="177"/>
      <c r="H27" s="193">
        <f>IF(C25&gt;=1,VLOOKUP(1,C11:D23,2,FALSE),"MM/DD/YY")</f>
        <v>40451</v>
      </c>
      <c r="J27" s="194" t="s">
        <v>258</v>
      </c>
      <c r="L27" s="195">
        <f>IF(Questionnaire!H28="Small",W25,MIN(L11:L17))</f>
        <v>-660325.8599999996</v>
      </c>
      <c r="S27" s="164"/>
    </row>
    <row r="28" spans="1:19" ht="13.5" thickBot="1">
      <c r="A28" s="196"/>
      <c r="B28" s="197"/>
      <c r="C28" s="197"/>
      <c r="D28" s="197"/>
      <c r="E28" s="197"/>
      <c r="F28" s="197"/>
      <c r="G28" s="197"/>
      <c r="H28" s="197"/>
      <c r="I28" s="178"/>
      <c r="J28" s="197"/>
      <c r="K28" s="197"/>
      <c r="L28" s="197"/>
      <c r="M28" s="197"/>
      <c r="N28" s="197"/>
      <c r="O28" s="197"/>
      <c r="P28" s="197"/>
      <c r="Q28" s="197"/>
      <c r="R28" s="197"/>
      <c r="S28" s="198"/>
    </row>
    <row r="29" spans="1:19" ht="19.5" thickBot="1">
      <c r="A29" s="155" t="s">
        <v>176</v>
      </c>
      <c r="B29" s="156"/>
      <c r="C29" s="156"/>
      <c r="D29" s="156"/>
      <c r="E29" s="156"/>
      <c r="F29" s="156"/>
      <c r="G29" s="156"/>
      <c r="H29" s="156"/>
      <c r="I29" s="156"/>
      <c r="J29" s="156"/>
      <c r="K29" s="156"/>
      <c r="L29" s="156"/>
      <c r="M29" s="156"/>
      <c r="N29" s="156"/>
      <c r="O29" s="156"/>
      <c r="P29" s="156"/>
      <c r="Q29" s="156"/>
      <c r="R29" s="156"/>
      <c r="S29" s="157"/>
    </row>
    <row r="30" spans="1:19" ht="12.75">
      <c r="A30" s="158"/>
      <c r="N30" s="160" t="s">
        <v>295</v>
      </c>
      <c r="P30" s="161" t="s">
        <v>228</v>
      </c>
      <c r="S30" s="164"/>
    </row>
    <row r="31" spans="1:23" ht="12.75">
      <c r="A31" s="158"/>
      <c r="D31" s="162"/>
      <c r="E31" s="162"/>
      <c r="F31" s="163" t="s">
        <v>297</v>
      </c>
      <c r="G31" s="162"/>
      <c r="H31" s="163" t="s">
        <v>200</v>
      </c>
      <c r="I31" s="162"/>
      <c r="J31" s="163" t="s">
        <v>201</v>
      </c>
      <c r="K31" s="162"/>
      <c r="L31" s="163" t="s">
        <v>202</v>
      </c>
      <c r="M31" s="159"/>
      <c r="N31" s="160" t="s">
        <v>104</v>
      </c>
      <c r="O31" s="159"/>
      <c r="P31" s="163" t="s">
        <v>264</v>
      </c>
      <c r="Q31" s="159"/>
      <c r="R31" s="163" t="s">
        <v>202</v>
      </c>
      <c r="S31" s="164"/>
      <c r="W31" s="79" t="s">
        <v>107</v>
      </c>
    </row>
    <row r="32" spans="1:23" ht="12.75">
      <c r="A32" s="158"/>
      <c r="D32" s="165" t="s">
        <v>265</v>
      </c>
      <c r="E32" s="162"/>
      <c r="F32" s="166" t="s">
        <v>293</v>
      </c>
      <c r="G32" s="162"/>
      <c r="H32" s="166" t="s">
        <v>188</v>
      </c>
      <c r="I32" s="162"/>
      <c r="J32" s="166" t="s">
        <v>355</v>
      </c>
      <c r="K32" s="162"/>
      <c r="L32" s="166" t="s">
        <v>293</v>
      </c>
      <c r="M32" s="159"/>
      <c r="N32" s="167" t="s">
        <v>356</v>
      </c>
      <c r="O32" s="159"/>
      <c r="P32" s="166" t="s">
        <v>147</v>
      </c>
      <c r="Q32" s="159"/>
      <c r="R32" s="166" t="s">
        <v>293</v>
      </c>
      <c r="S32" s="164"/>
      <c r="W32" s="261">
        <f>P48</f>
        <v>41182</v>
      </c>
    </row>
    <row r="33" spans="1:19" ht="12.75">
      <c r="A33" s="158"/>
      <c r="S33" s="164"/>
    </row>
    <row r="34" spans="1:23" ht="16.5" customHeight="1">
      <c r="A34" s="169">
        <v>1</v>
      </c>
      <c r="C34" s="170">
        <f>IF(L34=$L$50,1,0)</f>
        <v>1</v>
      </c>
      <c r="D34" s="171">
        <f>EOMONTH(D23,1)</f>
        <v>40755</v>
      </c>
      <c r="E34" s="172"/>
      <c r="F34" s="292">
        <f>'11-12'!B$9</f>
        <v>3508009.1</v>
      </c>
      <c r="G34" s="293"/>
      <c r="H34" s="294">
        <f>'11-12'!B$24</f>
        <v>0</v>
      </c>
      <c r="I34" s="293"/>
      <c r="J34" s="294">
        <f>'11-12'!B$39-'11-12'!$B$10-'11-12'!$B$11</f>
        <v>0</v>
      </c>
      <c r="K34" s="293"/>
      <c r="L34" s="295">
        <f aca="true" t="shared" si="8" ref="L34:L46">F34-J34+H34</f>
        <v>3508009.1</v>
      </c>
      <c r="N34" s="180" t="s">
        <v>148</v>
      </c>
      <c r="P34" s="200">
        <f>'Summary Tab'!C$45+IF(D34&gt;$R$95,$L$105)</f>
        <v>0</v>
      </c>
      <c r="Q34" s="201"/>
      <c r="R34" s="173">
        <f>P34+L34</f>
        <v>3508009.1</v>
      </c>
      <c r="S34" s="164"/>
      <c r="V34" s="79">
        <f aca="true" t="shared" si="9" ref="V34:V43">IF(L34&gt;0,L34,0)</f>
        <v>3508009.1</v>
      </c>
      <c r="W34" s="79">
        <f>IF(OR(D34&gt;$W$32,D34&lt;$R$95),MAX($L$34:$L$46),L34)</f>
        <v>3508009.1</v>
      </c>
    </row>
    <row r="35" spans="1:23" ht="16.5" customHeight="1">
      <c r="A35" s="169">
        <f>A34+1</f>
        <v>2</v>
      </c>
      <c r="C35" s="170">
        <f aca="true" t="shared" si="10" ref="C35:C46">IF(L35=$L$50,1,0)</f>
        <v>1</v>
      </c>
      <c r="D35" s="171">
        <f aca="true" t="shared" si="11" ref="D35:D46">EOMONTH(D34,1)</f>
        <v>40786</v>
      </c>
      <c r="E35" s="177"/>
      <c r="F35" s="292">
        <f>'11-12'!C$9</f>
        <v>3508009.1</v>
      </c>
      <c r="G35" s="296"/>
      <c r="H35" s="294">
        <f>'11-12'!C$24</f>
        <v>0</v>
      </c>
      <c r="I35" s="296"/>
      <c r="J35" s="294">
        <f>'11-12'!C$39-'11-12'!$C$10-'11-12'!$C$11</f>
        <v>0</v>
      </c>
      <c r="K35" s="296"/>
      <c r="L35" s="292">
        <f t="shared" si="8"/>
        <v>3508009.1</v>
      </c>
      <c r="N35" s="180" t="s">
        <v>148</v>
      </c>
      <c r="P35" s="200">
        <f>'Summary Tab'!D$45+IF(D35&gt;$R$95,$L$105)</f>
        <v>0</v>
      </c>
      <c r="R35" s="173">
        <f aca="true" t="shared" si="12" ref="R35:R46">P35+L35</f>
        <v>3508009.1</v>
      </c>
      <c r="S35" s="164"/>
      <c r="V35" s="79">
        <f t="shared" si="9"/>
        <v>3508009.1</v>
      </c>
      <c r="W35" s="79">
        <f aca="true" t="shared" si="13" ref="W35:W46">IF(OR(D35&gt;$W$32,D35&lt;$R$95),MAX($L$34:$L$46),L35)</f>
        <v>3508009.1</v>
      </c>
    </row>
    <row r="36" spans="1:23" ht="16.5" customHeight="1">
      <c r="A36" s="169">
        <f aca="true" t="shared" si="14" ref="A36:A46">A35+1</f>
        <v>3</v>
      </c>
      <c r="C36" s="170">
        <f t="shared" si="10"/>
        <v>1</v>
      </c>
      <c r="D36" s="171">
        <f t="shared" si="11"/>
        <v>40816</v>
      </c>
      <c r="E36" s="177"/>
      <c r="F36" s="292">
        <f>'11-12'!D$9</f>
        <v>3508009.1</v>
      </c>
      <c r="G36" s="296"/>
      <c r="H36" s="294">
        <f>'11-12'!D$24</f>
        <v>0</v>
      </c>
      <c r="I36" s="296"/>
      <c r="J36" s="294">
        <f>'11-12'!D$39-'11-12'!$D$10-'11-12'!$D$11</f>
        <v>0</v>
      </c>
      <c r="K36" s="296"/>
      <c r="L36" s="292">
        <f t="shared" si="8"/>
        <v>3508009.1</v>
      </c>
      <c r="N36" s="180" t="s">
        <v>148</v>
      </c>
      <c r="P36" s="200">
        <f>'Summary Tab'!E$45+IF(D36&gt;$R$95,$L$105)</f>
        <v>0</v>
      </c>
      <c r="R36" s="173">
        <f t="shared" si="12"/>
        <v>3508009.1</v>
      </c>
      <c r="S36" s="164"/>
      <c r="V36" s="79">
        <f t="shared" si="9"/>
        <v>3508009.1</v>
      </c>
      <c r="W36" s="79">
        <f t="shared" si="13"/>
        <v>3508009.1</v>
      </c>
    </row>
    <row r="37" spans="1:23" ht="16.5" customHeight="1">
      <c r="A37" s="169">
        <f t="shared" si="14"/>
        <v>4</v>
      </c>
      <c r="C37" s="170">
        <f t="shared" si="10"/>
        <v>1</v>
      </c>
      <c r="D37" s="171">
        <f t="shared" si="11"/>
        <v>40847</v>
      </c>
      <c r="E37" s="177"/>
      <c r="F37" s="292">
        <f>'11-12'!E$9</f>
        <v>3508009.1</v>
      </c>
      <c r="G37" s="296"/>
      <c r="H37" s="294">
        <f>'11-12'!E$24</f>
        <v>0</v>
      </c>
      <c r="I37" s="296"/>
      <c r="J37" s="294">
        <f>'11-12'!E$39-'11-12'!$E$10-'11-12'!$E$11</f>
        <v>0</v>
      </c>
      <c r="K37" s="296"/>
      <c r="L37" s="292">
        <f t="shared" si="8"/>
        <v>3508009.1</v>
      </c>
      <c r="N37" s="180" t="s">
        <v>30</v>
      </c>
      <c r="P37" s="200">
        <f>'Summary Tab'!F$45+IF(D37&gt;$R$95,$L$105)</f>
        <v>0</v>
      </c>
      <c r="R37" s="173">
        <f t="shared" si="12"/>
        <v>3508009.1</v>
      </c>
      <c r="S37" s="164"/>
      <c r="V37" s="79">
        <f t="shared" si="9"/>
        <v>3508009.1</v>
      </c>
      <c r="W37" s="79">
        <f t="shared" si="13"/>
        <v>3508009.1</v>
      </c>
    </row>
    <row r="38" spans="1:23" ht="16.5" customHeight="1">
      <c r="A38" s="169">
        <f t="shared" si="14"/>
        <v>5</v>
      </c>
      <c r="C38" s="170">
        <f t="shared" si="10"/>
        <v>1</v>
      </c>
      <c r="D38" s="171">
        <f t="shared" si="11"/>
        <v>40877</v>
      </c>
      <c r="E38" s="177"/>
      <c r="F38" s="292">
        <f>'11-12'!F$9</f>
        <v>3508009.1</v>
      </c>
      <c r="G38" s="296"/>
      <c r="H38" s="294">
        <f>'11-12'!F$24</f>
        <v>0</v>
      </c>
      <c r="I38" s="296"/>
      <c r="J38" s="294">
        <f>'11-12'!F$39-'11-12'!$F$10-'11-12'!$F$11</f>
        <v>0</v>
      </c>
      <c r="K38" s="296"/>
      <c r="L38" s="292">
        <f t="shared" si="8"/>
        <v>3508009.1</v>
      </c>
      <c r="N38" s="180" t="s">
        <v>30</v>
      </c>
      <c r="P38" s="200">
        <f>'Summary Tab'!G$45+IF(D38&gt;$R$95,$L$105)</f>
        <v>0</v>
      </c>
      <c r="R38" s="173">
        <f t="shared" si="12"/>
        <v>3508009.1</v>
      </c>
      <c r="S38" s="164"/>
      <c r="V38" s="79">
        <f t="shared" si="9"/>
        <v>3508009.1</v>
      </c>
      <c r="W38" s="79">
        <f t="shared" si="13"/>
        <v>3508009.1</v>
      </c>
    </row>
    <row r="39" spans="1:23" ht="16.5" customHeight="1">
      <c r="A39" s="169">
        <f t="shared" si="14"/>
        <v>6</v>
      </c>
      <c r="C39" s="170">
        <f t="shared" si="10"/>
        <v>1</v>
      </c>
      <c r="D39" s="182">
        <v>40892</v>
      </c>
      <c r="E39" s="183"/>
      <c r="F39" s="292">
        <f>'11-12'!G$9</f>
        <v>3508009.1</v>
      </c>
      <c r="G39" s="296"/>
      <c r="H39" s="294">
        <f>'11-12'!G$24</f>
        <v>0</v>
      </c>
      <c r="I39" s="296"/>
      <c r="J39" s="294">
        <f>'11-12'!G$39-'11-12'!$G$10-'11-12'!$G$11</f>
        <v>0</v>
      </c>
      <c r="K39" s="296"/>
      <c r="L39" s="292">
        <f t="shared" si="8"/>
        <v>3508009.1</v>
      </c>
      <c r="N39" s="180" t="s">
        <v>30</v>
      </c>
      <c r="P39" s="200">
        <f>'Summary Tab'!H$45+IF(D39&gt;$R$95,$L$105)</f>
        <v>0</v>
      </c>
      <c r="R39" s="173">
        <f t="shared" si="12"/>
        <v>3508009.1</v>
      </c>
      <c r="S39" s="164"/>
      <c r="V39" s="79">
        <f t="shared" si="9"/>
        <v>3508009.1</v>
      </c>
      <c r="W39" s="79">
        <f t="shared" si="13"/>
        <v>3508009.1</v>
      </c>
    </row>
    <row r="40" spans="1:23" ht="16.5" customHeight="1">
      <c r="A40" s="169"/>
      <c r="C40" s="170">
        <f t="shared" si="10"/>
        <v>1</v>
      </c>
      <c r="D40" s="171">
        <f>EOMONTH(D38,1)</f>
        <v>40908</v>
      </c>
      <c r="E40" s="183"/>
      <c r="F40" s="292">
        <f>'11-12'!H$9</f>
        <v>3508009.1</v>
      </c>
      <c r="G40" s="296"/>
      <c r="H40" s="294">
        <f>'11-12'!H$24</f>
        <v>0</v>
      </c>
      <c r="I40" s="296"/>
      <c r="J40" s="294">
        <f>'11-12'!H$39-'11-12'!$H$10-'11-12'!$H$11</f>
        <v>0</v>
      </c>
      <c r="K40" s="296"/>
      <c r="L40" s="292">
        <f t="shared" si="8"/>
        <v>3508009.1</v>
      </c>
      <c r="N40" s="180" t="s">
        <v>30</v>
      </c>
      <c r="P40" s="200">
        <f>'Summary Tab'!I$45+IF(D40&gt;$R$95,$L$105)</f>
        <v>0</v>
      </c>
      <c r="R40" s="173">
        <f t="shared" si="12"/>
        <v>3508009.1</v>
      </c>
      <c r="S40" s="164"/>
      <c r="V40" s="79">
        <f t="shared" si="9"/>
        <v>3508009.1</v>
      </c>
      <c r="W40" s="79">
        <f t="shared" si="13"/>
        <v>3508009.1</v>
      </c>
    </row>
    <row r="41" spans="1:23" ht="16.5" customHeight="1">
      <c r="A41" s="169">
        <f>A39+1</f>
        <v>7</v>
      </c>
      <c r="C41" s="170">
        <f t="shared" si="10"/>
        <v>1</v>
      </c>
      <c r="D41" s="171">
        <f>EOMONTH(D40,1)</f>
        <v>40939</v>
      </c>
      <c r="E41" s="177"/>
      <c r="F41" s="292">
        <f>'11-12'!I$9</f>
        <v>3508009.1</v>
      </c>
      <c r="G41" s="296"/>
      <c r="H41" s="294">
        <f>'11-12'!I$24</f>
        <v>0</v>
      </c>
      <c r="I41" s="296"/>
      <c r="J41" s="294">
        <f>'11-12'!I$39-'11-12'!$I$10-'11-12'!$I$11</f>
        <v>0</v>
      </c>
      <c r="K41" s="296"/>
      <c r="L41" s="292">
        <f t="shared" si="8"/>
        <v>3508009.1</v>
      </c>
      <c r="N41" s="180" t="s">
        <v>30</v>
      </c>
      <c r="P41" s="200">
        <f>'Summary Tab'!J$45+IF(D41&gt;$R$95,$L$105)</f>
        <v>0</v>
      </c>
      <c r="R41" s="173">
        <f t="shared" si="12"/>
        <v>3508009.1</v>
      </c>
      <c r="S41" s="164"/>
      <c r="V41" s="79">
        <f t="shared" si="9"/>
        <v>3508009.1</v>
      </c>
      <c r="W41" s="79">
        <f t="shared" si="13"/>
        <v>3508009.1</v>
      </c>
    </row>
    <row r="42" spans="1:23" ht="16.5" customHeight="1">
      <c r="A42" s="169">
        <f t="shared" si="14"/>
        <v>8</v>
      </c>
      <c r="C42" s="170">
        <f t="shared" si="10"/>
        <v>1</v>
      </c>
      <c r="D42" s="171">
        <f t="shared" si="11"/>
        <v>40968</v>
      </c>
      <c r="E42" s="177"/>
      <c r="F42" s="292">
        <f>'11-12'!J$9</f>
        <v>3508009.1</v>
      </c>
      <c r="G42" s="296"/>
      <c r="H42" s="294">
        <f>'11-12'!J$24</f>
        <v>0</v>
      </c>
      <c r="I42" s="296"/>
      <c r="J42" s="294">
        <f>'11-12'!J$39-'11-12'!$J$10-'11-12'!$J$11</f>
        <v>0</v>
      </c>
      <c r="K42" s="296"/>
      <c r="L42" s="292">
        <f t="shared" si="8"/>
        <v>3508009.1</v>
      </c>
      <c r="N42" s="180" t="s">
        <v>30</v>
      </c>
      <c r="P42" s="200">
        <f>'Summary Tab'!K$45+IF(D42&gt;$R$95,$L$105)</f>
        <v>0</v>
      </c>
      <c r="R42" s="173">
        <f t="shared" si="12"/>
        <v>3508009.1</v>
      </c>
      <c r="S42" s="164"/>
      <c r="V42" s="79">
        <f t="shared" si="9"/>
        <v>3508009.1</v>
      </c>
      <c r="W42" s="79">
        <f t="shared" si="13"/>
        <v>3508009.1</v>
      </c>
    </row>
    <row r="43" spans="1:23" ht="16.5" customHeight="1">
      <c r="A43" s="169">
        <f t="shared" si="14"/>
        <v>9</v>
      </c>
      <c r="C43" s="170">
        <f t="shared" si="10"/>
        <v>1</v>
      </c>
      <c r="D43" s="171">
        <f t="shared" si="11"/>
        <v>40999</v>
      </c>
      <c r="E43" s="177"/>
      <c r="F43" s="292">
        <f>'11-12'!K$9</f>
        <v>3508009.1</v>
      </c>
      <c r="G43" s="296"/>
      <c r="H43" s="294">
        <f>'11-12'!K$24</f>
        <v>0</v>
      </c>
      <c r="I43" s="296"/>
      <c r="J43" s="294">
        <f>'11-12'!K$39-'11-12'!$K$10-'11-12'!$K$11</f>
        <v>0</v>
      </c>
      <c r="K43" s="296"/>
      <c r="L43" s="292">
        <f t="shared" si="8"/>
        <v>3508009.1</v>
      </c>
      <c r="N43" s="180" t="s">
        <v>30</v>
      </c>
      <c r="P43" s="200">
        <f>'Summary Tab'!L$45+IF(D42&gt;$R$95,$L$105)</f>
        <v>0</v>
      </c>
      <c r="R43" s="173">
        <f t="shared" si="12"/>
        <v>3508009.1</v>
      </c>
      <c r="S43" s="164"/>
      <c r="V43" s="79">
        <f t="shared" si="9"/>
        <v>3508009.1</v>
      </c>
      <c r="W43" s="79">
        <f t="shared" si="13"/>
        <v>3508009.1</v>
      </c>
    </row>
    <row r="44" spans="1:23" ht="16.5" customHeight="1">
      <c r="A44" s="169">
        <f t="shared" si="14"/>
        <v>10</v>
      </c>
      <c r="C44" s="170">
        <f t="shared" si="10"/>
        <v>1</v>
      </c>
      <c r="D44" s="171">
        <f t="shared" si="11"/>
        <v>41029</v>
      </c>
      <c r="E44" s="177"/>
      <c r="F44" s="292">
        <f>'11-12'!L$9</f>
        <v>3508009.1</v>
      </c>
      <c r="G44" s="296"/>
      <c r="H44" s="294">
        <f>'11-12'!L$24</f>
        <v>0</v>
      </c>
      <c r="I44" s="296"/>
      <c r="J44" s="294">
        <f>'11-12'!L$39-'11-12'!$L$10-'11-12'!$L$11</f>
        <v>0</v>
      </c>
      <c r="K44" s="296"/>
      <c r="L44" s="292">
        <f t="shared" si="8"/>
        <v>3508009.1</v>
      </c>
      <c r="N44" s="180" t="s">
        <v>30</v>
      </c>
      <c r="P44" s="200">
        <f>'Summary Tab'!M$45+IF(D43&gt;$R$95,$L$105)</f>
        <v>0</v>
      </c>
      <c r="R44" s="173">
        <f t="shared" si="12"/>
        <v>3508009.1</v>
      </c>
      <c r="S44" s="164"/>
      <c r="V44" s="79">
        <f>IF(L44&gt;0,L44,0)</f>
        <v>3508009.1</v>
      </c>
      <c r="W44" s="79">
        <f t="shared" si="13"/>
        <v>3508009.1</v>
      </c>
    </row>
    <row r="45" spans="1:23" ht="16.5" customHeight="1">
      <c r="A45" s="169">
        <f t="shared" si="14"/>
        <v>11</v>
      </c>
      <c r="C45" s="170">
        <f t="shared" si="10"/>
        <v>1</v>
      </c>
      <c r="D45" s="171">
        <f t="shared" si="11"/>
        <v>41060</v>
      </c>
      <c r="E45" s="177"/>
      <c r="F45" s="292">
        <f>'11-12'!M$9</f>
        <v>3508009.1</v>
      </c>
      <c r="G45" s="296"/>
      <c r="H45" s="294">
        <f>'11-12'!M$24</f>
        <v>0</v>
      </c>
      <c r="I45" s="296"/>
      <c r="J45" s="294">
        <f>'11-12'!M$39-'11-12'!$M$10-'11-12'!$M$11</f>
        <v>0</v>
      </c>
      <c r="K45" s="296"/>
      <c r="L45" s="292">
        <f t="shared" si="8"/>
        <v>3508009.1</v>
      </c>
      <c r="N45" s="180" t="s">
        <v>30</v>
      </c>
      <c r="P45" s="200">
        <f>'Summary Tab'!N$45+IF(D44&gt;$R$95,$L$105)</f>
        <v>0</v>
      </c>
      <c r="R45" s="173">
        <f t="shared" si="12"/>
        <v>3508009.1</v>
      </c>
      <c r="S45" s="164"/>
      <c r="V45" s="79">
        <f>IF(L45&gt;0,L45,0)</f>
        <v>3508009.1</v>
      </c>
      <c r="W45" s="79">
        <f t="shared" si="13"/>
        <v>3508009.1</v>
      </c>
    </row>
    <row r="46" spans="1:23" ht="16.5" customHeight="1">
      <c r="A46" s="169">
        <f t="shared" si="14"/>
        <v>12</v>
      </c>
      <c r="C46" s="170">
        <f t="shared" si="10"/>
        <v>1</v>
      </c>
      <c r="D46" s="171">
        <f t="shared" si="11"/>
        <v>41090</v>
      </c>
      <c r="E46" s="177"/>
      <c r="F46" s="292">
        <f>'11-12'!N$9</f>
        <v>3508009.1</v>
      </c>
      <c r="G46" s="296"/>
      <c r="H46" s="294">
        <f>'11-12'!N$24</f>
        <v>0</v>
      </c>
      <c r="I46" s="296"/>
      <c r="J46" s="294">
        <f>'11-12'!N$39-'11-12'!$N$10-'11-12'!$N$11</f>
        <v>0</v>
      </c>
      <c r="K46" s="296"/>
      <c r="L46" s="292">
        <f t="shared" si="8"/>
        <v>3508009.1</v>
      </c>
      <c r="N46" s="180" t="s">
        <v>30</v>
      </c>
      <c r="P46" s="200">
        <f>'Summary Tab'!O$45+IF(D45&gt;$R$95,$L$105)</f>
        <v>0</v>
      </c>
      <c r="R46" s="173">
        <f t="shared" si="12"/>
        <v>3508009.1</v>
      </c>
      <c r="S46" s="164"/>
      <c r="V46" s="79">
        <f>IF(L46&gt;0,L46,0)</f>
        <v>3508009.1</v>
      </c>
      <c r="W46" s="79">
        <f t="shared" si="13"/>
        <v>3508009.1</v>
      </c>
    </row>
    <row r="47" spans="1:19" ht="12.75">
      <c r="A47" s="158"/>
      <c r="C47" s="170"/>
      <c r="H47" s="202"/>
      <c r="S47" s="164"/>
    </row>
    <row r="48" spans="1:23" ht="16.5" customHeight="1" thickBot="1">
      <c r="A48" s="158"/>
      <c r="C48" s="170">
        <f>SUM(C34:C46)</f>
        <v>13</v>
      </c>
      <c r="D48" s="186" t="s">
        <v>149</v>
      </c>
      <c r="E48" s="177"/>
      <c r="H48" s="187">
        <f>SUM(H34:H46)</f>
        <v>0</v>
      </c>
      <c r="I48" s="203" t="s">
        <v>354</v>
      </c>
      <c r="J48" s="187">
        <f>SUM(J34:J46)</f>
        <v>0</v>
      </c>
      <c r="N48" s="188" t="s">
        <v>229</v>
      </c>
      <c r="P48" s="312">
        <v>41182</v>
      </c>
      <c r="S48" s="164"/>
      <c r="V48" s="79">
        <f>SUM(V34:V46)/12</f>
        <v>3800343.191666668</v>
      </c>
      <c r="W48" s="79">
        <f>MIN(W34:W46)</f>
        <v>3508009.1</v>
      </c>
    </row>
    <row r="49" spans="1:19" ht="13.5" thickTop="1">
      <c r="A49" s="158"/>
      <c r="D49" s="186"/>
      <c r="E49" s="177"/>
      <c r="H49" s="191"/>
      <c r="I49" s="203"/>
      <c r="J49" s="191"/>
      <c r="S49" s="164"/>
    </row>
    <row r="50" spans="1:19" ht="13.5" thickBot="1">
      <c r="A50" s="158"/>
      <c r="D50" s="192" t="s">
        <v>44</v>
      </c>
      <c r="E50" s="177"/>
      <c r="H50" s="193">
        <f>IF(C48&gt;=1,VLOOKUP(1,C34:D46,2,FALSE),"MM/DD/YY")</f>
        <v>40755</v>
      </c>
      <c r="J50" s="194" t="s">
        <v>258</v>
      </c>
      <c r="L50" s="195">
        <f>IF(Questionnaire!N10="No",MIN(W41:W46),MIN(W41:W46))</f>
        <v>3508009.1</v>
      </c>
      <c r="N50" s="79" t="s">
        <v>43</v>
      </c>
      <c r="S50" s="164"/>
    </row>
    <row r="51" spans="1:19" ht="15" thickBot="1" thickTop="1">
      <c r="A51" s="196"/>
      <c r="B51" s="197"/>
      <c r="C51" s="197"/>
      <c r="D51" s="197"/>
      <c r="E51" s="197"/>
      <c r="F51" s="197"/>
      <c r="G51" s="197"/>
      <c r="H51" s="197"/>
      <c r="I51" s="197"/>
      <c r="J51" s="197"/>
      <c r="K51" s="197"/>
      <c r="L51" s="197"/>
      <c r="M51" s="197"/>
      <c r="N51" s="197"/>
      <c r="O51" s="197"/>
      <c r="P51" s="197"/>
      <c r="Q51" s="197"/>
      <c r="R51" s="197"/>
      <c r="S51" s="198"/>
    </row>
    <row r="52" spans="1:19" ht="13.5" thickBot="1">
      <c r="A52" s="197"/>
      <c r="B52" s="197" t="str">
        <f>E4</f>
        <v>"Master Template" School District</v>
      </c>
      <c r="C52" s="197"/>
      <c r="D52" s="197"/>
      <c r="E52" s="197"/>
      <c r="F52" s="197"/>
      <c r="G52" s="197"/>
      <c r="H52" s="197"/>
      <c r="I52" s="197"/>
      <c r="J52" s="197"/>
      <c r="K52" s="197"/>
      <c r="L52" s="197"/>
      <c r="M52" s="197"/>
      <c r="N52" s="197"/>
      <c r="O52" s="197"/>
      <c r="P52" s="197"/>
      <c r="Q52" s="197"/>
      <c r="R52" s="197"/>
      <c r="S52" s="197"/>
    </row>
    <row r="53" spans="1:19" ht="19.5" thickBot="1">
      <c r="A53" s="155" t="s">
        <v>268</v>
      </c>
      <c r="B53" s="156"/>
      <c r="C53" s="156"/>
      <c r="D53" s="156"/>
      <c r="E53" s="156"/>
      <c r="F53" s="156"/>
      <c r="G53" s="156"/>
      <c r="H53" s="156"/>
      <c r="I53" s="156"/>
      <c r="J53" s="156"/>
      <c r="K53" s="156"/>
      <c r="L53" s="156"/>
      <c r="M53" s="156"/>
      <c r="N53" s="156"/>
      <c r="O53" s="156"/>
      <c r="P53" s="156"/>
      <c r="Q53" s="156"/>
      <c r="R53" s="156"/>
      <c r="S53" s="157"/>
    </row>
    <row r="54" spans="1:19" ht="12.75">
      <c r="A54" s="158"/>
      <c r="B54" s="204"/>
      <c r="S54" s="164"/>
    </row>
    <row r="55" spans="1:19" ht="12.75">
      <c r="A55" s="158"/>
      <c r="B55" s="205" t="s">
        <v>269</v>
      </c>
      <c r="C55" s="205" t="s">
        <v>102</v>
      </c>
      <c r="D55" s="186"/>
      <c r="E55" s="186"/>
      <c r="F55" s="186"/>
      <c r="G55" s="186"/>
      <c r="H55" s="186"/>
      <c r="L55" s="206">
        <f>J25</f>
        <v>35343204.21</v>
      </c>
      <c r="S55" s="164"/>
    </row>
    <row r="56" spans="1:19" ht="12.75">
      <c r="A56" s="158"/>
      <c r="C56" s="207" t="s">
        <v>71</v>
      </c>
      <c r="D56" s="208"/>
      <c r="E56" s="208"/>
      <c r="F56" s="208"/>
      <c r="G56" s="208"/>
      <c r="H56" s="208"/>
      <c r="J56" s="209" t="s">
        <v>270</v>
      </c>
      <c r="L56" s="199">
        <f>L55*0.05</f>
        <v>1767160.2105</v>
      </c>
      <c r="S56" s="164"/>
    </row>
    <row r="57" spans="1:19" ht="12.75">
      <c r="A57" s="158"/>
      <c r="S57" s="164"/>
    </row>
    <row r="58" spans="1:19" ht="12.75">
      <c r="A58" s="158"/>
      <c r="B58" s="205" t="s">
        <v>271</v>
      </c>
      <c r="C58" s="205" t="s">
        <v>237</v>
      </c>
      <c r="D58" s="186"/>
      <c r="E58" s="186"/>
      <c r="F58" s="186"/>
      <c r="G58" s="186"/>
      <c r="H58" s="186"/>
      <c r="S58" s="164"/>
    </row>
    <row r="59" spans="1:19" ht="12.75">
      <c r="A59" s="158"/>
      <c r="C59" s="208" t="s">
        <v>32</v>
      </c>
      <c r="D59" s="208"/>
      <c r="E59" s="208"/>
      <c r="F59" s="208"/>
      <c r="G59" s="208"/>
      <c r="H59" s="208"/>
      <c r="J59" s="209"/>
      <c r="L59" s="199">
        <f>Questionnaire!P10</f>
      </c>
      <c r="S59" s="164"/>
    </row>
    <row r="60" spans="1:19" ht="12.75">
      <c r="A60" s="158"/>
      <c r="C60" s="208" t="s">
        <v>384</v>
      </c>
      <c r="D60" s="208"/>
      <c r="E60" s="208"/>
      <c r="F60" s="208"/>
      <c r="G60" s="208"/>
      <c r="H60" s="208"/>
      <c r="J60" s="209"/>
      <c r="L60" s="191"/>
      <c r="S60" s="164"/>
    </row>
    <row r="61" spans="1:19" ht="12.75">
      <c r="A61" s="158"/>
      <c r="S61" s="164"/>
    </row>
    <row r="62" spans="1:19" ht="12.75">
      <c r="A62" s="158"/>
      <c r="B62" s="205" t="s">
        <v>238</v>
      </c>
      <c r="C62" s="186" t="s">
        <v>239</v>
      </c>
      <c r="D62" s="186"/>
      <c r="E62" s="186"/>
      <c r="F62" s="186"/>
      <c r="S62" s="164"/>
    </row>
    <row r="63" spans="1:19" ht="12.75">
      <c r="A63" s="158"/>
      <c r="C63" s="203" t="s">
        <v>172</v>
      </c>
      <c r="D63" s="203"/>
      <c r="E63" s="203"/>
      <c r="F63" s="203"/>
      <c r="G63" s="203"/>
      <c r="H63" s="203"/>
      <c r="S63" s="164"/>
    </row>
    <row r="64" spans="1:19" ht="12.75">
      <c r="A64" s="158"/>
      <c r="C64" s="203" t="s">
        <v>82</v>
      </c>
      <c r="D64" s="203"/>
      <c r="E64" s="203"/>
      <c r="F64" s="203"/>
      <c r="G64" s="203"/>
      <c r="H64" s="203"/>
      <c r="L64" s="210">
        <f>IF(L59="Small Issuer",L56,"")</f>
      </c>
      <c r="S64" s="164"/>
    </row>
    <row r="65" spans="1:19" ht="12.75">
      <c r="A65" s="158"/>
      <c r="L65" s="178"/>
      <c r="S65" s="164"/>
    </row>
    <row r="66" spans="1:19" ht="12.75">
      <c r="A66" s="158"/>
      <c r="B66" s="205" t="s">
        <v>83</v>
      </c>
      <c r="C66" s="205" t="s">
        <v>173</v>
      </c>
      <c r="D66" s="186"/>
      <c r="E66" s="186"/>
      <c r="F66" s="186"/>
      <c r="G66" s="186"/>
      <c r="H66" s="186"/>
      <c r="I66" s="186"/>
      <c r="J66" s="186"/>
      <c r="L66" s="178"/>
      <c r="S66" s="164"/>
    </row>
    <row r="67" spans="1:19" ht="12.75">
      <c r="A67" s="158"/>
      <c r="C67" s="205" t="s">
        <v>211</v>
      </c>
      <c r="D67" s="186"/>
      <c r="E67" s="186"/>
      <c r="F67" s="186"/>
      <c r="G67" s="186"/>
      <c r="H67" s="186"/>
      <c r="I67" s="186"/>
      <c r="J67" s="186"/>
      <c r="L67" s="178"/>
      <c r="S67" s="164"/>
    </row>
    <row r="68" spans="1:19" ht="12.75">
      <c r="A68" s="158"/>
      <c r="C68" s="203" t="s">
        <v>25</v>
      </c>
      <c r="D68" s="203"/>
      <c r="E68" s="203"/>
      <c r="F68" s="203"/>
      <c r="G68" s="203"/>
      <c r="H68" s="203"/>
      <c r="L68" s="178"/>
      <c r="S68" s="164"/>
    </row>
    <row r="69" spans="1:19" ht="12.75">
      <c r="A69" s="158"/>
      <c r="C69" s="211" t="s">
        <v>279</v>
      </c>
      <c r="D69" s="203"/>
      <c r="E69" s="203"/>
      <c r="F69" s="203"/>
      <c r="G69" s="203"/>
      <c r="H69" s="203"/>
      <c r="L69" s="178"/>
      <c r="S69" s="164"/>
    </row>
    <row r="70" spans="1:19" ht="12.75">
      <c r="A70" s="158"/>
      <c r="C70" s="211" t="s">
        <v>224</v>
      </c>
      <c r="D70" s="203"/>
      <c r="E70" s="203"/>
      <c r="F70" s="203"/>
      <c r="G70" s="203"/>
      <c r="H70" s="203"/>
      <c r="I70" s="203"/>
      <c r="J70" s="203"/>
      <c r="L70" s="181" t="str">
        <f>IF(L59="Large Issuer",MAX(MAX(AVERAGE(U11:U16,U18:U23,),AVERAGE(V11:V16,V18:V23)),MIN(F34,L46)),"n/a")</f>
        <v>n/a</v>
      </c>
      <c r="S70" s="164"/>
    </row>
    <row r="71" spans="1:19" ht="12.75">
      <c r="A71" s="158"/>
      <c r="C71" s="203"/>
      <c r="L71" s="178"/>
      <c r="S71" s="164"/>
    </row>
    <row r="72" spans="1:19" ht="12.75">
      <c r="A72" s="158"/>
      <c r="B72" s="205" t="s">
        <v>259</v>
      </c>
      <c r="C72" s="186" t="s">
        <v>204</v>
      </c>
      <c r="D72" s="186"/>
      <c r="E72" s="186"/>
      <c r="F72" s="186"/>
      <c r="L72" s="178"/>
      <c r="S72" s="164"/>
    </row>
    <row r="73" spans="1:19" ht="12.75">
      <c r="A73" s="158"/>
      <c r="C73" s="203" t="s">
        <v>26</v>
      </c>
      <c r="D73" s="203"/>
      <c r="E73" s="203"/>
      <c r="F73" s="203"/>
      <c r="G73" s="203"/>
      <c r="H73" s="203"/>
      <c r="L73" s="178"/>
      <c r="S73" s="164"/>
    </row>
    <row r="74" spans="1:19" ht="12.75">
      <c r="A74" s="158"/>
      <c r="C74" s="203" t="s">
        <v>243</v>
      </c>
      <c r="D74" s="203"/>
      <c r="E74" s="203"/>
      <c r="F74" s="203"/>
      <c r="G74" s="203"/>
      <c r="H74" s="203"/>
      <c r="L74" s="210">
        <f>IF(L59="Large Issuer",MINA(L70,L56),"")</f>
      </c>
      <c r="S74" s="164"/>
    </row>
    <row r="75" spans="1:19" ht="13.5" thickBot="1">
      <c r="A75" s="196"/>
      <c r="B75" s="197"/>
      <c r="C75" s="197"/>
      <c r="D75" s="197"/>
      <c r="E75" s="197"/>
      <c r="F75" s="197"/>
      <c r="G75" s="197"/>
      <c r="H75" s="197"/>
      <c r="I75" s="197"/>
      <c r="J75" s="197"/>
      <c r="K75" s="197"/>
      <c r="L75" s="197"/>
      <c r="M75" s="197"/>
      <c r="N75" s="197"/>
      <c r="O75" s="197"/>
      <c r="P75" s="197"/>
      <c r="Q75" s="197"/>
      <c r="R75" s="197"/>
      <c r="S75" s="198"/>
    </row>
    <row r="77" spans="1:19" ht="19.5" thickBot="1">
      <c r="A77" s="155" t="s">
        <v>33</v>
      </c>
      <c r="B77" s="156"/>
      <c r="C77" s="156"/>
      <c r="D77" s="156"/>
      <c r="E77" s="156"/>
      <c r="F77" s="156"/>
      <c r="G77" s="156"/>
      <c r="H77" s="156"/>
      <c r="I77" s="156"/>
      <c r="J77" s="156"/>
      <c r="K77" s="156"/>
      <c r="L77" s="156"/>
      <c r="M77" s="156"/>
      <c r="N77" s="156"/>
      <c r="O77" s="156"/>
      <c r="P77" s="156"/>
      <c r="Q77" s="156"/>
      <c r="R77" s="156"/>
      <c r="S77" s="157"/>
    </row>
    <row r="78" spans="1:19" ht="12.75">
      <c r="A78" s="158"/>
      <c r="S78" s="164"/>
    </row>
    <row r="79" spans="1:19" ht="12.75">
      <c r="A79" s="158"/>
      <c r="L79" s="212" t="s">
        <v>212</v>
      </c>
      <c r="P79" s="160" t="s">
        <v>273</v>
      </c>
      <c r="S79" s="164"/>
    </row>
    <row r="80" spans="1:19" ht="13.5" thickBot="1">
      <c r="A80" s="158"/>
      <c r="L80" s="213" t="s">
        <v>244</v>
      </c>
      <c r="P80" s="214" t="s">
        <v>245</v>
      </c>
      <c r="S80" s="164"/>
    </row>
    <row r="81" spans="1:19" ht="12.75">
      <c r="A81" s="158"/>
      <c r="B81" s="186" t="s">
        <v>144</v>
      </c>
      <c r="C81" s="186" t="s">
        <v>369</v>
      </c>
      <c r="D81" s="186"/>
      <c r="E81" s="186"/>
      <c r="F81" s="186"/>
      <c r="L81" s="173">
        <f>-(IF(L59="Small Issuer",MINA(W41:W46),MINA(W41:W46)))</f>
        <v>-3508009.1</v>
      </c>
      <c r="M81" s="215"/>
      <c r="N81" s="215"/>
      <c r="O81" s="215"/>
      <c r="P81" s="173">
        <f>-(IF(L59="Small Issuer",MINA(W41:W46),MINA(W41:W46)))</f>
        <v>-3508009.1</v>
      </c>
      <c r="S81" s="164"/>
    </row>
    <row r="82" spans="1:19" ht="12.75">
      <c r="A82" s="158"/>
      <c r="C82" s="211" t="s">
        <v>226</v>
      </c>
      <c r="D82" s="203"/>
      <c r="E82" s="203"/>
      <c r="F82" s="203"/>
      <c r="S82" s="164"/>
    </row>
    <row r="83" spans="1:19" ht="12.75">
      <c r="A83" s="158"/>
      <c r="C83" s="208" t="s">
        <v>370</v>
      </c>
      <c r="D83" s="208"/>
      <c r="S83" s="164"/>
    </row>
    <row r="84" spans="1:19" ht="12.75">
      <c r="A84" s="158"/>
      <c r="B84" s="186" t="s">
        <v>371</v>
      </c>
      <c r="C84" s="186" t="s">
        <v>150</v>
      </c>
      <c r="D84" s="186"/>
      <c r="E84" s="186"/>
      <c r="F84" s="186"/>
      <c r="K84" s="172" t="s">
        <v>349</v>
      </c>
      <c r="L84" s="181">
        <f>IF(L59="Small Issuer",L64,IF(L59="Large Issuer",L74,))</f>
        <v>0</v>
      </c>
      <c r="P84" s="181">
        <f>P86-P81</f>
        <v>-389778.7888888889</v>
      </c>
      <c r="S84" s="164"/>
    </row>
    <row r="85" spans="1:19" ht="12.75">
      <c r="A85" s="158"/>
      <c r="B85" s="177"/>
      <c r="C85" s="177"/>
      <c r="S85" s="164"/>
    </row>
    <row r="86" spans="1:19" ht="13.5" thickBot="1">
      <c r="A86" s="158"/>
      <c r="B86" s="186" t="s">
        <v>350</v>
      </c>
      <c r="C86" s="205" t="s">
        <v>137</v>
      </c>
      <c r="D86" s="186"/>
      <c r="E86" s="186"/>
      <c r="F86" s="186"/>
      <c r="G86" s="186"/>
      <c r="H86" s="186"/>
      <c r="I86" s="186"/>
      <c r="J86" s="186"/>
      <c r="K86" s="172" t="s">
        <v>353</v>
      </c>
      <c r="L86" s="216">
        <f>L81+L84</f>
        <v>-3508009.1</v>
      </c>
      <c r="P86" s="216">
        <f>P81/0.9</f>
        <v>-3897787.888888889</v>
      </c>
      <c r="S86" s="164"/>
    </row>
    <row r="87" spans="1:19" ht="12.75">
      <c r="A87" s="158"/>
      <c r="L87" s="215"/>
      <c r="S87" s="164"/>
    </row>
    <row r="88" spans="1:19" ht="12.75">
      <c r="A88" s="158"/>
      <c r="B88" s="186" t="s">
        <v>351</v>
      </c>
      <c r="C88" s="203" t="s">
        <v>178</v>
      </c>
      <c r="D88" s="203"/>
      <c r="E88" s="203"/>
      <c r="F88" s="203"/>
      <c r="G88" s="203"/>
      <c r="H88" s="203"/>
      <c r="I88" s="203"/>
      <c r="L88" s="215"/>
      <c r="S88" s="164"/>
    </row>
    <row r="89" spans="1:19" ht="12.75">
      <c r="A89" s="158"/>
      <c r="D89" s="203" t="s">
        <v>168</v>
      </c>
      <c r="E89" s="203"/>
      <c r="F89" s="203"/>
      <c r="L89" s="217">
        <f>IF(L86&gt;P86,L86,P86)</f>
        <v>-3508009.1</v>
      </c>
      <c r="S89" s="164"/>
    </row>
    <row r="90" spans="1:19" ht="12.75">
      <c r="A90" s="158"/>
      <c r="C90" s="208" t="s">
        <v>266</v>
      </c>
      <c r="D90" s="208"/>
      <c r="S90" s="164"/>
    </row>
    <row r="91" spans="1:19" ht="12.75">
      <c r="A91" s="158"/>
      <c r="B91" s="186" t="s">
        <v>267</v>
      </c>
      <c r="C91" s="186" t="s">
        <v>109</v>
      </c>
      <c r="D91" s="186"/>
      <c r="E91" s="186"/>
      <c r="F91" s="186"/>
      <c r="G91" s="186"/>
      <c r="H91" s="186"/>
      <c r="S91" s="164"/>
    </row>
    <row r="92" spans="1:19" ht="12.75">
      <c r="A92" s="158"/>
      <c r="S92" s="164"/>
    </row>
    <row r="93" spans="1:19" ht="12.75">
      <c r="A93" s="158"/>
      <c r="C93" s="203" t="s">
        <v>110</v>
      </c>
      <c r="D93" s="203" t="s">
        <v>116</v>
      </c>
      <c r="E93" s="203"/>
      <c r="F93" s="203"/>
      <c r="G93" s="203"/>
      <c r="K93" s="172" t="s">
        <v>352</v>
      </c>
      <c r="L93" s="181">
        <f>IF(L59="Small Issuer",L89*0.05,L89*0.1)</f>
        <v>-350800.91000000003</v>
      </c>
      <c r="S93" s="164"/>
    </row>
    <row r="94" spans="1:19" ht="13.5" thickBot="1">
      <c r="A94" s="158"/>
      <c r="C94" s="203" t="s">
        <v>84</v>
      </c>
      <c r="D94" s="211" t="s">
        <v>230</v>
      </c>
      <c r="E94" s="203"/>
      <c r="F94" s="203"/>
      <c r="G94" s="203"/>
      <c r="H94" s="203"/>
      <c r="I94" s="203"/>
      <c r="J94" s="203"/>
      <c r="L94" s="178"/>
      <c r="S94" s="164"/>
    </row>
    <row r="95" spans="1:19" ht="15" thickBot="1" thickTop="1">
      <c r="A95" s="158"/>
      <c r="D95" s="203" t="s">
        <v>111</v>
      </c>
      <c r="E95" s="203"/>
      <c r="F95" s="203"/>
      <c r="G95" s="203"/>
      <c r="H95" s="203"/>
      <c r="J95" s="218">
        <f>Questionnaire!L17</f>
        <v>0.0075</v>
      </c>
      <c r="K95" s="172" t="s">
        <v>352</v>
      </c>
      <c r="L95" s="181">
        <f>(+L89-L93)*J95*(H50-R95)/365</f>
        <v>12909.95403719178</v>
      </c>
      <c r="P95" s="365" t="s">
        <v>395</v>
      </c>
      <c r="R95" s="436">
        <v>40954</v>
      </c>
      <c r="S95" s="164"/>
    </row>
    <row r="96" spans="1:19" ht="15" thickBot="1" thickTop="1">
      <c r="A96" s="158"/>
      <c r="D96" s="211" t="s">
        <v>159</v>
      </c>
      <c r="E96" s="203"/>
      <c r="F96" s="203"/>
      <c r="G96" s="203"/>
      <c r="H96" s="203"/>
      <c r="S96" s="164"/>
    </row>
    <row r="97" spans="1:19" ht="15" thickBot="1" thickTop="1">
      <c r="A97" s="158"/>
      <c r="B97" s="186" t="s">
        <v>112</v>
      </c>
      <c r="C97" s="205" t="s">
        <v>410</v>
      </c>
      <c r="D97" s="186"/>
      <c r="E97" s="186"/>
      <c r="F97" s="186"/>
      <c r="K97" s="172" t="s">
        <v>353</v>
      </c>
      <c r="L97" s="219">
        <f>MAX((IF(L59="Small Issuer",MINA(INT((L89-L93-L95)/5000)*5000,5000000),INT((L89-L93-L95)/5000)*5000)),0)</f>
        <v>0</v>
      </c>
      <c r="S97" s="164"/>
    </row>
    <row r="98" spans="1:19" ht="15" thickBot="1" thickTop="1">
      <c r="A98" s="158"/>
      <c r="B98" s="186"/>
      <c r="C98" s="186"/>
      <c r="D98" s="186"/>
      <c r="E98" s="186"/>
      <c r="F98" s="186"/>
      <c r="K98" s="172"/>
      <c r="L98" s="202"/>
      <c r="O98" s="220" t="s">
        <v>274</v>
      </c>
      <c r="S98" s="164"/>
    </row>
    <row r="99" spans="1:19" ht="15" thickBot="1" thickTop="1">
      <c r="A99" s="158"/>
      <c r="B99" s="186" t="s">
        <v>113</v>
      </c>
      <c r="C99" s="186" t="s">
        <v>203</v>
      </c>
      <c r="D99" s="186"/>
      <c r="E99" s="186"/>
      <c r="F99" s="186"/>
      <c r="K99" s="172" t="s">
        <v>353</v>
      </c>
      <c r="L99" s="335" t="str">
        <f>Questionnaire!L21</f>
        <v>n/a</v>
      </c>
      <c r="O99" s="221" t="s">
        <v>114</v>
      </c>
      <c r="S99" s="164"/>
    </row>
    <row r="100" spans="1:19" ht="15" thickBot="1" thickTop="1">
      <c r="A100" s="158"/>
      <c r="B100" s="186"/>
      <c r="C100" s="186"/>
      <c r="K100" s="172"/>
      <c r="L100" s="215"/>
      <c r="O100" s="222" t="s">
        <v>52</v>
      </c>
      <c r="S100" s="164"/>
    </row>
    <row r="101" spans="1:19" ht="15" thickBot="1" thickTop="1">
      <c r="A101" s="158"/>
      <c r="B101" s="205" t="s">
        <v>222</v>
      </c>
      <c r="C101" s="186" t="s">
        <v>252</v>
      </c>
      <c r="D101" s="186"/>
      <c r="E101" s="186"/>
      <c r="F101" s="186"/>
      <c r="G101" s="186"/>
      <c r="H101" s="186"/>
      <c r="K101" s="172" t="s">
        <v>353</v>
      </c>
      <c r="L101" s="335" t="str">
        <f>Questionnaire!L23</f>
        <v>n/a</v>
      </c>
      <c r="O101" s="221" t="s">
        <v>166</v>
      </c>
      <c r="S101" s="164"/>
    </row>
    <row r="102" spans="1:19" ht="15" thickBot="1" thickTop="1">
      <c r="A102" s="158"/>
      <c r="B102" s="205"/>
      <c r="C102" s="186"/>
      <c r="D102" s="186"/>
      <c r="E102" s="186"/>
      <c r="F102" s="186"/>
      <c r="G102" s="186"/>
      <c r="H102" s="186"/>
      <c r="K102" s="172"/>
      <c r="L102" s="434"/>
      <c r="O102" s="221"/>
      <c r="S102" s="164"/>
    </row>
    <row r="103" spans="1:19" ht="15" thickBot="1" thickTop="1">
      <c r="A103" s="158"/>
      <c r="B103" s="186" t="s">
        <v>385</v>
      </c>
      <c r="C103" s="186" t="s">
        <v>394</v>
      </c>
      <c r="D103" s="186"/>
      <c r="E103" s="186"/>
      <c r="F103" s="186"/>
      <c r="G103" s="186"/>
      <c r="H103" s="186"/>
      <c r="K103" s="172"/>
      <c r="L103" s="335">
        <f>INT((0.85*'Summary Tab'!O17)/5000)*5000</f>
        <v>0</v>
      </c>
      <c r="O103" s="221"/>
      <c r="S103" s="164"/>
    </row>
    <row r="104" spans="1:19" ht="15" thickBot="1" thickTop="1">
      <c r="A104" s="158"/>
      <c r="B104" s="186"/>
      <c r="C104" s="186"/>
      <c r="K104" s="172"/>
      <c r="L104" s="215"/>
      <c r="P104" s="221"/>
      <c r="S104" s="164"/>
    </row>
    <row r="105" spans="1:19" ht="13.5" thickBot="1">
      <c r="A105" s="158"/>
      <c r="B105" s="205" t="s">
        <v>76</v>
      </c>
      <c r="C105" s="205" t="s">
        <v>409</v>
      </c>
      <c r="D105" s="186"/>
      <c r="E105" s="186"/>
      <c r="H105" s="435">
        <f>IF(L105&lt;-L50,"TRANs Doesn't Cover Largest Deficit!","")</f>
      </c>
      <c r="K105" s="172" t="s">
        <v>353</v>
      </c>
      <c r="L105" s="223">
        <f>MIN(L97:L103)</f>
        <v>0</v>
      </c>
      <c r="P105" s="224">
        <f>IF(Questionnaire!N10="No","N/A",IF(Questionnaire!N10="Yes",L84-L105,""))</f>
      </c>
      <c r="S105" s="164"/>
    </row>
    <row r="106" spans="1:19" ht="13.5" thickBot="1">
      <c r="A106" s="196"/>
      <c r="B106" s="197"/>
      <c r="C106" s="197"/>
      <c r="D106" s="197"/>
      <c r="E106" s="197"/>
      <c r="F106" s="197"/>
      <c r="G106" s="197"/>
      <c r="H106" s="197"/>
      <c r="I106" s="197"/>
      <c r="J106" s="197"/>
      <c r="K106" s="197"/>
      <c r="L106" s="197"/>
      <c r="M106" s="197"/>
      <c r="N106" s="197"/>
      <c r="O106" s="197"/>
      <c r="P106" s="197"/>
      <c r="Q106" s="197"/>
      <c r="R106" s="197"/>
      <c r="S106" s="198"/>
    </row>
    <row r="107" ht="12.75">
      <c r="H107" s="203" t="s">
        <v>354</v>
      </c>
    </row>
    <row r="136" spans="53:55" ht="12.75">
      <c r="BA136" s="225" t="s">
        <v>217</v>
      </c>
      <c r="BB136" s="225" t="s">
        <v>217</v>
      </c>
      <c r="BC136" s="225" t="s">
        <v>217</v>
      </c>
    </row>
    <row r="137" spans="53:55" ht="12.75">
      <c r="BA137" s="225" t="s">
        <v>217</v>
      </c>
      <c r="BB137" s="225" t="s">
        <v>217</v>
      </c>
      <c r="BC137" s="225" t="s">
        <v>217</v>
      </c>
    </row>
    <row r="138" spans="53:54" ht="12.75">
      <c r="BA138" s="225" t="s">
        <v>217</v>
      </c>
      <c r="BB138" s="203" t="s">
        <v>218</v>
      </c>
    </row>
    <row r="139" spans="53:54" ht="12.75">
      <c r="BA139" s="225" t="s">
        <v>217</v>
      </c>
      <c r="BB139" s="203" t="s">
        <v>219</v>
      </c>
    </row>
    <row r="140" spans="53:54" ht="12.75">
      <c r="BA140" s="225" t="s">
        <v>217</v>
      </c>
      <c r="BB140" s="203" t="s">
        <v>220</v>
      </c>
    </row>
    <row r="141" spans="53:54" ht="12.75">
      <c r="BA141" s="225" t="s">
        <v>217</v>
      </c>
      <c r="BB141" s="203" t="s">
        <v>219</v>
      </c>
    </row>
    <row r="142" ht="12.75">
      <c r="BA142" s="225" t="s">
        <v>217</v>
      </c>
    </row>
    <row r="143" ht="12.75">
      <c r="BA143" s="225" t="s">
        <v>217</v>
      </c>
    </row>
    <row r="144" ht="12.75">
      <c r="BA144" s="225" t="s">
        <v>217</v>
      </c>
    </row>
    <row r="145" ht="12.75">
      <c r="BA145" s="225" t="s">
        <v>217</v>
      </c>
    </row>
    <row r="146" ht="12.75">
      <c r="BA146" s="225" t="s">
        <v>217</v>
      </c>
    </row>
    <row r="147" ht="12.75">
      <c r="BA147" s="225" t="s">
        <v>217</v>
      </c>
    </row>
    <row r="148" ht="12.75">
      <c r="BA148" s="225" t="s">
        <v>217</v>
      </c>
    </row>
    <row r="149" ht="12.75">
      <c r="BA149" s="225" t="s">
        <v>217</v>
      </c>
    </row>
    <row r="150" ht="12.75">
      <c r="BA150" s="225" t="s">
        <v>217</v>
      </c>
    </row>
    <row r="151" ht="12.75">
      <c r="BA151" s="225" t="s">
        <v>217</v>
      </c>
    </row>
    <row r="152" ht="12.75">
      <c r="BA152" s="225" t="s">
        <v>217</v>
      </c>
    </row>
    <row r="153" ht="12.75">
      <c r="BA153" s="225" t="s">
        <v>217</v>
      </c>
    </row>
  </sheetData>
  <sheetProtection password="CA11" sheet="1" objects="1" scenarios="1"/>
  <mergeCells count="1">
    <mergeCell ref="E4:P4"/>
  </mergeCells>
  <printOptions horizontalCentered="1"/>
  <pageMargins left="0.25" right="0.5" top="0.5" bottom="0.5" header="0.5" footer="0.5"/>
  <pageSetup fitToHeight="0" fitToWidth="1" orientation="landscape" scale="61"/>
  <rowBreaks count="1" manualBreakCount="1">
    <brk id="51"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A1:C19"/>
  <sheetViews>
    <sheetView workbookViewId="0" topLeftCell="A1">
      <selection activeCell="A2" sqref="A2"/>
    </sheetView>
  </sheetViews>
  <sheetFormatPr defaultColWidth="10.6640625" defaultRowHeight="15"/>
  <cols>
    <col min="1" max="1" width="14.77734375" style="78" customWidth="1"/>
    <col min="2" max="2" width="2.3359375" style="78" customWidth="1"/>
    <col min="3" max="3" width="68.3359375" style="78" customWidth="1"/>
    <col min="4" max="16384" width="10.6640625" style="78" customWidth="1"/>
  </cols>
  <sheetData>
    <row r="1" ht="12.75">
      <c r="A1" s="78" t="str">
        <f>'Summary Tab'!A1</f>
        <v>"Master Template" School District</v>
      </c>
    </row>
    <row r="3" spans="1:2" ht="12.75">
      <c r="A3" s="91" t="s">
        <v>161</v>
      </c>
      <c r="B3" s="91"/>
    </row>
    <row r="5" spans="1:3" ht="12.75">
      <c r="A5" s="95"/>
      <c r="B5" s="102"/>
      <c r="C5" s="103"/>
    </row>
    <row r="6" spans="1:3" ht="12.75">
      <c r="A6" s="148" t="s">
        <v>162</v>
      </c>
      <c r="B6" s="98"/>
      <c r="C6" s="148" t="s">
        <v>163</v>
      </c>
    </row>
    <row r="7" spans="1:3" ht="12.75">
      <c r="A7" s="149"/>
      <c r="B7" s="150"/>
      <c r="C7" s="149"/>
    </row>
    <row r="8" spans="1:3" ht="31.5" customHeight="1">
      <c r="A8" s="151"/>
      <c r="B8" s="152"/>
      <c r="C8" s="151"/>
    </row>
    <row r="9" spans="1:3" ht="31.5" customHeight="1">
      <c r="A9" s="133"/>
      <c r="B9" s="152"/>
      <c r="C9" s="133"/>
    </row>
    <row r="10" spans="1:3" ht="31.5" customHeight="1">
      <c r="A10" s="133"/>
      <c r="B10" s="152"/>
      <c r="C10" s="133"/>
    </row>
    <row r="11" spans="1:3" ht="31.5" customHeight="1">
      <c r="A11" s="133"/>
      <c r="B11" s="152"/>
      <c r="C11" s="133"/>
    </row>
    <row r="12" spans="1:3" ht="31.5" customHeight="1">
      <c r="A12" s="133"/>
      <c r="B12" s="152"/>
      <c r="C12" s="133"/>
    </row>
    <row r="13" spans="1:3" ht="31.5" customHeight="1">
      <c r="A13" s="133"/>
      <c r="B13" s="152"/>
      <c r="C13" s="133"/>
    </row>
    <row r="14" spans="1:3" ht="31.5" customHeight="1">
      <c r="A14" s="133"/>
      <c r="B14" s="152"/>
      <c r="C14" s="133"/>
    </row>
    <row r="15" spans="1:3" ht="31.5" customHeight="1">
      <c r="A15" s="133"/>
      <c r="B15" s="152"/>
      <c r="C15" s="133"/>
    </row>
    <row r="16" spans="1:3" ht="31.5" customHeight="1">
      <c r="A16" s="133"/>
      <c r="B16" s="152"/>
      <c r="C16" s="133"/>
    </row>
    <row r="17" spans="1:3" ht="31.5" customHeight="1">
      <c r="A17" s="133"/>
      <c r="B17" s="152"/>
      <c r="C17" s="133"/>
    </row>
    <row r="18" spans="1:3" ht="31.5" customHeight="1">
      <c r="A18" s="133"/>
      <c r="B18" s="152"/>
      <c r="C18" s="133"/>
    </row>
    <row r="19" spans="1:3" ht="31.5" customHeight="1">
      <c r="A19" s="133"/>
      <c r="B19" s="152"/>
      <c r="C19" s="133"/>
    </row>
  </sheetData>
  <printOptions horizontalCentered="1"/>
  <pageMargins left="0.25" right="0.25" top="0.5" bottom="0.5" header="0.5" footer="0.5"/>
  <pageSetup fitToHeight="1" fitToWidth="1" orientation="landscape" scale="97"/>
</worksheet>
</file>

<file path=xl/worksheets/sheet9.xml><?xml version="1.0" encoding="utf-8"?>
<worksheet xmlns="http://schemas.openxmlformats.org/spreadsheetml/2006/main" xmlns:r="http://schemas.openxmlformats.org/officeDocument/2006/relationships">
  <sheetPr>
    <pageSetUpPr fitToPage="1"/>
  </sheetPr>
  <dimension ref="A1:P47"/>
  <sheetViews>
    <sheetView workbookViewId="0" topLeftCell="A1">
      <selection activeCell="A23" sqref="A23"/>
    </sheetView>
  </sheetViews>
  <sheetFormatPr defaultColWidth="11.77734375" defaultRowHeight="15"/>
  <cols>
    <col min="1" max="1" width="19.99609375" style="291" customWidth="1"/>
    <col min="2" max="2" width="9.99609375" style="291" customWidth="1"/>
    <col min="3" max="7" width="9.10546875" style="291" customWidth="1"/>
    <col min="8" max="8" width="8.4453125" style="291" customWidth="1"/>
    <col min="9" max="14" width="9.10546875" style="291" customWidth="1"/>
    <col min="15" max="15" width="10.88671875" style="291" customWidth="1"/>
    <col min="16" max="16384" width="11.77734375" style="279" customWidth="1"/>
  </cols>
  <sheetData>
    <row r="1" spans="1:15" s="274" customFormat="1" ht="15">
      <c r="A1" s="273" t="str">
        <f>'Summary Tab'!A1</f>
        <v>"Master Template" School District</v>
      </c>
      <c r="B1" s="273"/>
      <c r="C1" s="273"/>
      <c r="D1" s="273"/>
      <c r="E1" s="273"/>
      <c r="F1" s="273"/>
      <c r="G1" s="273"/>
      <c r="H1" s="273"/>
      <c r="I1" s="273"/>
      <c r="J1" s="273"/>
      <c r="K1" s="465" t="s">
        <v>34</v>
      </c>
      <c r="L1" s="465"/>
      <c r="M1" s="465"/>
      <c r="N1" s="465"/>
      <c r="O1" s="363" t="e">
        <f>+#REF!*1</f>
        <v>#REF!</v>
      </c>
    </row>
    <row r="2" spans="1:15" ht="9.75" customHeight="1">
      <c r="A2" s="275"/>
      <c r="B2" s="275"/>
      <c r="C2" s="275"/>
      <c r="D2" s="275"/>
      <c r="E2" s="276"/>
      <c r="F2" s="275"/>
      <c r="G2" s="275"/>
      <c r="H2" s="275"/>
      <c r="I2" s="277"/>
      <c r="J2" s="276"/>
      <c r="K2" s="278"/>
      <c r="L2" s="275"/>
      <c r="M2" s="275"/>
      <c r="N2" s="275"/>
      <c r="O2" s="275"/>
    </row>
    <row r="3" spans="1:15" ht="9.75" customHeight="1">
      <c r="A3" s="364"/>
      <c r="B3" s="280">
        <v>7</v>
      </c>
      <c r="C3" s="281">
        <v>8</v>
      </c>
      <c r="D3" s="281">
        <v>9</v>
      </c>
      <c r="E3" s="281">
        <v>10</v>
      </c>
      <c r="F3" s="281">
        <v>11</v>
      </c>
      <c r="G3" s="244" t="s">
        <v>209</v>
      </c>
      <c r="H3" s="244" t="s">
        <v>210</v>
      </c>
      <c r="I3" s="281">
        <v>1</v>
      </c>
      <c r="J3" s="281">
        <v>2</v>
      </c>
      <c r="K3" s="281">
        <v>3</v>
      </c>
      <c r="L3" s="281">
        <v>4</v>
      </c>
      <c r="M3" s="281">
        <v>5</v>
      </c>
      <c r="N3" s="281">
        <v>6</v>
      </c>
      <c r="O3" s="282"/>
    </row>
    <row r="4" spans="1:15" s="284" customFormat="1" ht="25.5" customHeight="1">
      <c r="A4" s="283"/>
      <c r="B4" s="283" t="s">
        <v>180</v>
      </c>
      <c r="C4" s="283" t="s">
        <v>182</v>
      </c>
      <c r="D4" s="283" t="s">
        <v>183</v>
      </c>
      <c r="E4" s="283" t="s">
        <v>184</v>
      </c>
      <c r="F4" s="283" t="s">
        <v>185</v>
      </c>
      <c r="G4" s="283" t="s">
        <v>205</v>
      </c>
      <c r="H4" s="283"/>
      <c r="I4" s="283" t="s">
        <v>206</v>
      </c>
      <c r="J4" s="283" t="s">
        <v>207</v>
      </c>
      <c r="K4" s="283" t="s">
        <v>253</v>
      </c>
      <c r="L4" s="283" t="s">
        <v>254</v>
      </c>
      <c r="M4" s="283" t="s">
        <v>255</v>
      </c>
      <c r="N4" s="245" t="s">
        <v>256</v>
      </c>
      <c r="O4" s="246" t="s">
        <v>257</v>
      </c>
    </row>
    <row r="5" spans="1:15" ht="10.5" customHeight="1">
      <c r="A5" s="248" t="s">
        <v>242</v>
      </c>
      <c r="B5" s="249">
        <f>'Weighted Average Calculation'!B35</f>
        <v>3134571.85</v>
      </c>
      <c r="C5" s="247"/>
      <c r="D5" s="247"/>
      <c r="E5" s="247"/>
      <c r="F5" s="247"/>
      <c r="G5" s="247"/>
      <c r="H5" s="247"/>
      <c r="I5" s="247"/>
      <c r="J5" s="247"/>
      <c r="K5" s="247"/>
      <c r="L5" s="247"/>
      <c r="M5" s="247"/>
      <c r="N5" s="245"/>
      <c r="O5" s="246">
        <f>B5</f>
        <v>3134571.85</v>
      </c>
    </row>
    <row r="6" spans="1:15" s="284" customFormat="1" ht="10.5" customHeight="1">
      <c r="A6" s="250" t="s">
        <v>240</v>
      </c>
      <c r="B6" s="266">
        <f>-Restricted!$I$36</f>
        <v>0</v>
      </c>
      <c r="C6" s="247"/>
      <c r="D6" s="247"/>
      <c r="E6" s="247"/>
      <c r="F6" s="247"/>
      <c r="G6" s="247"/>
      <c r="H6" s="247"/>
      <c r="I6" s="247"/>
      <c r="J6" s="247"/>
      <c r="K6" s="247"/>
      <c r="L6" s="247"/>
      <c r="M6" s="247"/>
      <c r="N6" s="245"/>
      <c r="O6" s="246">
        <f>SUM(B6:N6)</f>
        <v>0</v>
      </c>
    </row>
    <row r="7" spans="1:15" s="284" customFormat="1" ht="10.5" customHeight="1">
      <c r="A7" s="250" t="s">
        <v>241</v>
      </c>
      <c r="B7" s="266">
        <f>Alternative!$Z$33</f>
        <v>0</v>
      </c>
      <c r="C7" s="247"/>
      <c r="D7" s="247"/>
      <c r="E7" s="247"/>
      <c r="F7" s="247"/>
      <c r="G7" s="247"/>
      <c r="H7" s="247"/>
      <c r="I7" s="247"/>
      <c r="J7" s="247"/>
      <c r="K7" s="247"/>
      <c r="L7" s="247"/>
      <c r="M7" s="247"/>
      <c r="N7" s="245"/>
      <c r="O7" s="246">
        <f>SUM(B7:N7)</f>
        <v>0</v>
      </c>
    </row>
    <row r="8" spans="1:15" s="284" customFormat="1" ht="10.5" customHeight="1">
      <c r="A8" s="252"/>
      <c r="B8" s="247"/>
      <c r="C8" s="247"/>
      <c r="D8" s="247"/>
      <c r="E8" s="247"/>
      <c r="F8" s="247"/>
      <c r="G8" s="247"/>
      <c r="H8" s="247"/>
      <c r="I8" s="247"/>
      <c r="J8" s="247"/>
      <c r="K8" s="247"/>
      <c r="L8" s="247"/>
      <c r="M8" s="247"/>
      <c r="N8" s="245"/>
      <c r="O8" s="246"/>
    </row>
    <row r="9" spans="1:15" s="284" customFormat="1" ht="10.5" customHeight="1">
      <c r="A9" s="248" t="s">
        <v>127</v>
      </c>
      <c r="B9" s="249">
        <f>SUM(B5:B7)</f>
        <v>3134571.85</v>
      </c>
      <c r="C9" s="249">
        <f>B41</f>
        <v>2657229.8899999997</v>
      </c>
      <c r="D9" s="249">
        <f aca="true" t="shared" si="0" ref="D9:N9">C41</f>
        <v>1594390.0700000003</v>
      </c>
      <c r="E9" s="249">
        <f t="shared" si="0"/>
        <v>-660325.8599999994</v>
      </c>
      <c r="F9" s="249">
        <f t="shared" si="0"/>
        <v>337663.8900000006</v>
      </c>
      <c r="G9" s="249">
        <f t="shared" si="0"/>
        <v>1550419.750000001</v>
      </c>
      <c r="H9" s="249">
        <f t="shared" si="0"/>
        <v>5436637.439999999</v>
      </c>
      <c r="I9" s="249">
        <f t="shared" si="0"/>
        <v>5436637.439999999</v>
      </c>
      <c r="J9" s="249">
        <f t="shared" si="0"/>
        <v>5525794.619999998</v>
      </c>
      <c r="K9" s="249">
        <f t="shared" si="0"/>
        <v>2677890.379999999</v>
      </c>
      <c r="L9" s="249">
        <f t="shared" si="0"/>
        <v>2702756.6699999985</v>
      </c>
      <c r="M9" s="249">
        <f t="shared" si="0"/>
        <v>5708893.609999999</v>
      </c>
      <c r="N9" s="249">
        <f t="shared" si="0"/>
        <v>3344352.2199999997</v>
      </c>
      <c r="O9" s="253">
        <f>B9</f>
        <v>3134571.85</v>
      </c>
    </row>
    <row r="10" spans="1:16" s="284" customFormat="1" ht="10.5" customHeight="1">
      <c r="A10" s="254" t="s">
        <v>10</v>
      </c>
      <c r="B10" s="266">
        <f>Restricted!$AA$36</f>
        <v>0</v>
      </c>
      <c r="C10" s="266">
        <f>Restricted!$AA$36</f>
        <v>0</v>
      </c>
      <c r="D10" s="266">
        <f>Restricted!$AA$36</f>
        <v>0</v>
      </c>
      <c r="E10" s="266">
        <f>Restricted!$AA$36</f>
        <v>0</v>
      </c>
      <c r="F10" s="266">
        <f>Restricted!$AA$36</f>
        <v>0</v>
      </c>
      <c r="G10" s="266">
        <f>Restricted!$AA$36</f>
        <v>0</v>
      </c>
      <c r="H10" s="310"/>
      <c r="I10" s="266">
        <f>Restricted!$AA$36</f>
        <v>0</v>
      </c>
      <c r="J10" s="266">
        <f>Restricted!$AA$36</f>
        <v>0</v>
      </c>
      <c r="K10" s="266">
        <f>Restricted!$AA$36</f>
        <v>0</v>
      </c>
      <c r="L10" s="266">
        <f>Restricted!$AA$36</f>
        <v>0</v>
      </c>
      <c r="M10" s="266">
        <f>Restricted!$AA$36</f>
        <v>0</v>
      </c>
      <c r="N10" s="266">
        <f>P10-SUM(B10:M10)</f>
        <v>0</v>
      </c>
      <c r="O10" s="262">
        <f>SUM(B10:N10)</f>
        <v>0</v>
      </c>
      <c r="P10" s="284">
        <f>Restricted!$AA$36*12</f>
        <v>0</v>
      </c>
    </row>
    <row r="11" spans="1:16" s="284" customFormat="1" ht="10.5" customHeight="1">
      <c r="A11" s="254" t="s">
        <v>193</v>
      </c>
      <c r="B11" s="266">
        <f>-Alternative!$AA$33</f>
        <v>0</v>
      </c>
      <c r="C11" s="266">
        <f>-Alternative!$AA$33</f>
        <v>0</v>
      </c>
      <c r="D11" s="266">
        <f>-Alternative!$AA$33</f>
        <v>0</v>
      </c>
      <c r="E11" s="266">
        <f>-Alternative!$AA$33</f>
        <v>0</v>
      </c>
      <c r="F11" s="266">
        <f>-Alternative!$AA$33</f>
        <v>0</v>
      </c>
      <c r="G11" s="266">
        <f>-Alternative!$AA$33</f>
        <v>0</v>
      </c>
      <c r="H11" s="266"/>
      <c r="I11" s="266">
        <f>-Alternative!$AA$33</f>
        <v>0</v>
      </c>
      <c r="J11" s="266">
        <f>-Alternative!$AA$33</f>
        <v>0</v>
      </c>
      <c r="K11" s="266">
        <f>-Alternative!$AA$33</f>
        <v>0</v>
      </c>
      <c r="L11" s="266">
        <f>-Alternative!$AA$33</f>
        <v>0</v>
      </c>
      <c r="M11" s="266">
        <f>-Alternative!$AA$33</f>
        <v>0</v>
      </c>
      <c r="N11" s="266">
        <f>P11-SUM(B11:M11)</f>
        <v>0</v>
      </c>
      <c r="O11" s="262">
        <f>SUM(B11:N11)</f>
        <v>0</v>
      </c>
      <c r="P11" s="284">
        <f>-Alternative!$AA$33*12</f>
        <v>0</v>
      </c>
    </row>
    <row r="12" spans="1:15" s="284" customFormat="1" ht="10.5" customHeight="1">
      <c r="A12" s="259" t="s">
        <v>133</v>
      </c>
      <c r="B12" s="249">
        <f>B9+B10+B11</f>
        <v>3134571.85</v>
      </c>
      <c r="C12" s="249">
        <f aca="true" t="shared" si="1" ref="C12:O12">C9+C10+C11</f>
        <v>2657229.8899999997</v>
      </c>
      <c r="D12" s="249">
        <f t="shared" si="1"/>
        <v>1594390.0700000003</v>
      </c>
      <c r="E12" s="249">
        <f t="shared" si="1"/>
        <v>-660325.8599999994</v>
      </c>
      <c r="F12" s="249">
        <f t="shared" si="1"/>
        <v>337663.8900000006</v>
      </c>
      <c r="G12" s="249">
        <f t="shared" si="1"/>
        <v>1550419.750000001</v>
      </c>
      <c r="H12" s="249">
        <f t="shared" si="1"/>
        <v>5436637.439999999</v>
      </c>
      <c r="I12" s="249">
        <f t="shared" si="1"/>
        <v>5436637.439999999</v>
      </c>
      <c r="J12" s="249">
        <f t="shared" si="1"/>
        <v>5525794.619999998</v>
      </c>
      <c r="K12" s="249">
        <f t="shared" si="1"/>
        <v>2677890.379999999</v>
      </c>
      <c r="L12" s="249">
        <f t="shared" si="1"/>
        <v>2702756.6699999985</v>
      </c>
      <c r="M12" s="249">
        <f t="shared" si="1"/>
        <v>5708893.609999999</v>
      </c>
      <c r="N12" s="249">
        <f t="shared" si="1"/>
        <v>3344352.2199999997</v>
      </c>
      <c r="O12" s="249">
        <f t="shared" si="1"/>
        <v>3134571.85</v>
      </c>
    </row>
    <row r="13" spans="1:15" s="284" customFormat="1" ht="10.5" customHeight="1">
      <c r="A13" s="248"/>
      <c r="B13" s="247"/>
      <c r="C13" s="247"/>
      <c r="D13" s="247"/>
      <c r="E13" s="247"/>
      <c r="F13" s="247"/>
      <c r="G13" s="247"/>
      <c r="H13" s="247"/>
      <c r="I13" s="247"/>
      <c r="J13" s="247"/>
      <c r="K13" s="247"/>
      <c r="L13" s="247"/>
      <c r="M13" s="247"/>
      <c r="N13" s="245"/>
      <c r="O13" s="246"/>
    </row>
    <row r="14" spans="1:15" ht="10.5" customHeight="1">
      <c r="A14" s="250" t="s">
        <v>336</v>
      </c>
      <c r="B14" s="251"/>
      <c r="C14" s="251"/>
      <c r="D14" s="251"/>
      <c r="E14" s="251"/>
      <c r="F14" s="251"/>
      <c r="G14" s="251"/>
      <c r="H14" s="251"/>
      <c r="I14" s="251"/>
      <c r="J14" s="251"/>
      <c r="K14" s="251"/>
      <c r="L14" s="251"/>
      <c r="M14" s="251"/>
      <c r="N14" s="251"/>
      <c r="O14" s="262">
        <f aca="true" t="shared" si="2" ref="O14:O23">SUM(B14:N14)</f>
        <v>0</v>
      </c>
    </row>
    <row r="15" spans="1:15" ht="10.5" customHeight="1">
      <c r="A15" s="250" t="s">
        <v>38</v>
      </c>
      <c r="B15" s="266">
        <f>'Weighted Average Calculation'!B39</f>
        <v>39701.3</v>
      </c>
      <c r="C15" s="266">
        <f>'Weighted Average Calculation'!C39</f>
        <v>21985.91</v>
      </c>
      <c r="D15" s="266">
        <f>'Weighted Average Calculation'!D39</f>
        <v>0</v>
      </c>
      <c r="E15" s="266">
        <f>'Weighted Average Calculation'!E39</f>
        <v>1196008.24</v>
      </c>
      <c r="F15" s="266">
        <f>'Weighted Average Calculation'!F39</f>
        <v>1719206.37</v>
      </c>
      <c r="G15" s="266">
        <f>'Weighted Average Calculation'!G39</f>
        <v>5481663.56</v>
      </c>
      <c r="H15" s="266"/>
      <c r="I15" s="266">
        <f>'Weighted Average Calculation'!H39</f>
        <v>1859767.76</v>
      </c>
      <c r="J15" s="266">
        <f>'Weighted Average Calculation'!I39</f>
        <v>47064.62</v>
      </c>
      <c r="K15" s="266">
        <f>'Weighted Average Calculation'!J39</f>
        <v>2070839.12</v>
      </c>
      <c r="L15" s="266">
        <f>'Weighted Average Calculation'!K39</f>
        <v>5192947.44</v>
      </c>
      <c r="M15" s="266">
        <f>'Weighted Average Calculation'!L39</f>
        <v>268436.73</v>
      </c>
      <c r="N15" s="266">
        <f>'Weighted Average Calculation'!M39</f>
        <v>2643705.92</v>
      </c>
      <c r="O15" s="262">
        <f t="shared" si="2"/>
        <v>20541326.97</v>
      </c>
    </row>
    <row r="16" spans="1:15" ht="10.5" customHeight="1">
      <c r="A16" s="250" t="s">
        <v>39</v>
      </c>
      <c r="B16" s="266">
        <f>'Weighted Average Calculation'!B40</f>
        <v>-50696.88</v>
      </c>
      <c r="C16" s="266">
        <f>'Weighted Average Calculation'!C40</f>
        <v>181490.08</v>
      </c>
      <c r="D16" s="266">
        <f>'Weighted Average Calculation'!D40</f>
        <v>138252.73</v>
      </c>
      <c r="E16" s="266">
        <f>'Weighted Average Calculation'!E40</f>
        <v>118222.34</v>
      </c>
      <c r="F16" s="266">
        <f>'Weighted Average Calculation'!F40</f>
        <v>183442.86</v>
      </c>
      <c r="G16" s="266">
        <f>'Weighted Average Calculation'!G40</f>
        <v>366885.72</v>
      </c>
      <c r="H16" s="266"/>
      <c r="I16" s="266">
        <f>'Weighted Average Calculation'!H40</f>
        <v>237753.86</v>
      </c>
      <c r="J16" s="266">
        <f>'Weighted Average Calculation'!I40</f>
        <v>34291.96</v>
      </c>
      <c r="K16" s="266">
        <f>'Weighted Average Calculation'!J40</f>
        <v>0</v>
      </c>
      <c r="L16" s="266">
        <f>'Weighted Average Calculation'!K40</f>
        <v>546588.77</v>
      </c>
      <c r="M16" s="266">
        <f>'Weighted Average Calculation'!L40</f>
        <v>62827.44</v>
      </c>
      <c r="N16" s="266">
        <f>'Weighted Average Calculation'!M40</f>
        <v>966473.55</v>
      </c>
      <c r="O16" s="262">
        <f t="shared" si="2"/>
        <v>2785532.4299999997</v>
      </c>
    </row>
    <row r="17" spans="1:15" ht="10.5" customHeight="1">
      <c r="A17" s="250" t="s">
        <v>40</v>
      </c>
      <c r="B17" s="266">
        <f>'Weighted Average Calculation'!B41</f>
        <v>5756.02</v>
      </c>
      <c r="C17" s="266">
        <f>'Weighted Average Calculation'!C41</f>
        <v>4462.15</v>
      </c>
      <c r="D17" s="266">
        <f>'Weighted Average Calculation'!D41</f>
        <v>5645.56</v>
      </c>
      <c r="E17" s="266">
        <f>'Weighted Average Calculation'!E41</f>
        <v>3795.93</v>
      </c>
      <c r="F17" s="266">
        <f>'Weighted Average Calculation'!F41</f>
        <v>5609.53</v>
      </c>
      <c r="G17" s="266">
        <f>'Weighted Average Calculation'!G41</f>
        <v>5596.73</v>
      </c>
      <c r="H17" s="266"/>
      <c r="I17" s="266">
        <f>'Weighted Average Calculation'!H41</f>
        <v>59150.18</v>
      </c>
      <c r="J17" s="266">
        <f>'Weighted Average Calculation'!I41</f>
        <v>5810.66</v>
      </c>
      <c r="K17" s="266">
        <f>'Weighted Average Calculation'!J41</f>
        <v>7313.38</v>
      </c>
      <c r="L17" s="266">
        <f>'Weighted Average Calculation'!K41</f>
        <v>5908.16</v>
      </c>
      <c r="M17" s="266">
        <f>'Weighted Average Calculation'!L41</f>
        <v>28470.01</v>
      </c>
      <c r="N17" s="266">
        <f>'Weighted Average Calculation'!M41</f>
        <v>1230686.69</v>
      </c>
      <c r="O17" s="262">
        <f t="shared" si="2"/>
        <v>1368205</v>
      </c>
    </row>
    <row r="18" spans="1:15" ht="10.5" customHeight="1">
      <c r="A18" s="250" t="s">
        <v>55</v>
      </c>
      <c r="B18" s="266">
        <f>'Weighted Average Calculation'!B42</f>
        <v>30611</v>
      </c>
      <c r="C18" s="266">
        <f>'Weighted Average Calculation'!C42</f>
        <v>5168</v>
      </c>
      <c r="D18" s="266">
        <f>'Weighted Average Calculation'!D42</f>
        <v>896453.9</v>
      </c>
      <c r="E18" s="266">
        <f>'Weighted Average Calculation'!E42</f>
        <v>170</v>
      </c>
      <c r="F18" s="266">
        <f>'Weighted Average Calculation'!F42</f>
        <v>19830</v>
      </c>
      <c r="G18" s="266">
        <f>'Weighted Average Calculation'!G42</f>
        <v>263550.25</v>
      </c>
      <c r="H18" s="266"/>
      <c r="I18" s="266">
        <f>'Weighted Average Calculation'!H42</f>
        <v>55632.75</v>
      </c>
      <c r="J18" s="266">
        <f>'Weighted Average Calculation'!I42</f>
        <v>-775332.75</v>
      </c>
      <c r="K18" s="266">
        <f>'Weighted Average Calculation'!J42</f>
        <v>500239.91</v>
      </c>
      <c r="L18" s="266">
        <f>'Weighted Average Calculation'!K42</f>
        <v>30220</v>
      </c>
      <c r="M18" s="266">
        <f>'Weighted Average Calculation'!L42</f>
        <v>414957.28</v>
      </c>
      <c r="N18" s="266">
        <f>'Weighted Average Calculation'!M42</f>
        <v>697121.3</v>
      </c>
      <c r="O18" s="262">
        <f t="shared" si="2"/>
        <v>2138621.6399999997</v>
      </c>
    </row>
    <row r="19" spans="1:15" ht="10.5" customHeight="1">
      <c r="A19" s="250" t="s">
        <v>56</v>
      </c>
      <c r="B19" s="266">
        <f>'Weighted Average Calculation'!B43</f>
        <v>310384.07</v>
      </c>
      <c r="C19" s="266">
        <f>'Weighted Average Calculation'!C43</f>
        <v>-12520.07</v>
      </c>
      <c r="D19" s="266">
        <f>'Weighted Average Calculation'!D43</f>
        <v>7547.65</v>
      </c>
      <c r="E19" s="266">
        <f>'Weighted Average Calculation'!E43</f>
        <v>162382.67</v>
      </c>
      <c r="F19" s="266">
        <f>'Weighted Average Calculation'!F43</f>
        <v>56415.09</v>
      </c>
      <c r="G19" s="266">
        <f>'Weighted Average Calculation'!G43</f>
        <v>746510.77</v>
      </c>
      <c r="H19" s="303"/>
      <c r="I19" s="266">
        <f>'Weighted Average Calculation'!H43</f>
        <v>582388.1</v>
      </c>
      <c r="J19" s="266">
        <f>'Weighted Average Calculation'!I43</f>
        <v>172964.44</v>
      </c>
      <c r="K19" s="266">
        <f>'Weighted Average Calculation'!J43</f>
        <v>551836.07</v>
      </c>
      <c r="L19" s="266">
        <f>'Weighted Average Calculation'!K43</f>
        <v>381196.67</v>
      </c>
      <c r="M19" s="266">
        <f>'Weighted Average Calculation'!L43</f>
        <v>142181.62</v>
      </c>
      <c r="N19" s="266">
        <f>'Weighted Average Calculation'!M43</f>
        <v>1378544.65</v>
      </c>
      <c r="O19" s="262">
        <f t="shared" si="2"/>
        <v>4479831.73</v>
      </c>
    </row>
    <row r="20" spans="1:15" ht="10.5" customHeight="1">
      <c r="A20" s="250" t="s">
        <v>57</v>
      </c>
      <c r="B20" s="266">
        <f>'Weighted Average Calculation'!B44</f>
        <v>50</v>
      </c>
      <c r="C20" s="266">
        <f>'Weighted Average Calculation'!C44</f>
        <v>27756.51</v>
      </c>
      <c r="D20" s="266">
        <f>'Weighted Average Calculation'!D44</f>
        <v>121755.85</v>
      </c>
      <c r="E20" s="266">
        <f>'Weighted Average Calculation'!E44</f>
        <v>284013.32</v>
      </c>
      <c r="F20" s="266">
        <f>'Weighted Average Calculation'!F44</f>
        <v>170917.21</v>
      </c>
      <c r="G20" s="266">
        <f>'Weighted Average Calculation'!G44</f>
        <v>263797.01</v>
      </c>
      <c r="H20" s="266"/>
      <c r="I20" s="266">
        <f>'Weighted Average Calculation'!H44</f>
        <v>841584.58</v>
      </c>
      <c r="J20" s="266">
        <f>'Weighted Average Calculation'!I44</f>
        <v>61241.53</v>
      </c>
      <c r="K20" s="266">
        <f>'Weighted Average Calculation'!J44</f>
        <v>25801.52</v>
      </c>
      <c r="L20" s="266">
        <f>'Weighted Average Calculation'!K44</f>
        <v>183638.14</v>
      </c>
      <c r="M20" s="266">
        <f>'Weighted Average Calculation'!L44</f>
        <v>112656.88</v>
      </c>
      <c r="N20" s="266">
        <f>'Weighted Average Calculation'!M44</f>
        <v>1156826.5</v>
      </c>
      <c r="O20" s="262">
        <f t="shared" si="2"/>
        <v>3250039.05</v>
      </c>
    </row>
    <row r="21" spans="1:15" ht="10.5" customHeight="1">
      <c r="A21" s="250" t="s">
        <v>58</v>
      </c>
      <c r="B21" s="266">
        <f>'Weighted Average Calculation'!B45</f>
        <v>0</v>
      </c>
      <c r="C21" s="266">
        <f>'Weighted Average Calculation'!C45</f>
        <v>0</v>
      </c>
      <c r="D21" s="266">
        <f>'Weighted Average Calculation'!D45</f>
        <v>0</v>
      </c>
      <c r="E21" s="266">
        <f>'Weighted Average Calculation'!E45</f>
        <v>2500000</v>
      </c>
      <c r="F21" s="266">
        <f>'Weighted Average Calculation'!F45</f>
        <v>2000000</v>
      </c>
      <c r="G21" s="266">
        <f>'Weighted Average Calculation'!G45</f>
        <v>0</v>
      </c>
      <c r="H21" s="266"/>
      <c r="I21" s="266">
        <f>'Weighted Average Calculation'!H45</f>
        <v>0</v>
      </c>
      <c r="J21" s="266">
        <f>'Weighted Average Calculation'!I45</f>
        <v>0</v>
      </c>
      <c r="K21" s="266">
        <f>'Weighted Average Calculation'!J45</f>
        <v>0</v>
      </c>
      <c r="L21" s="266">
        <f>'Weighted Average Calculation'!K45</f>
        <v>0</v>
      </c>
      <c r="M21" s="266">
        <f>'Weighted Average Calculation'!L45</f>
        <v>0</v>
      </c>
      <c r="N21" s="266">
        <f>'Weighted Average Calculation'!M45</f>
        <v>-1494005.58</v>
      </c>
      <c r="O21" s="262">
        <f t="shared" si="2"/>
        <v>3005994.42</v>
      </c>
    </row>
    <row r="22" spans="1:15" ht="10.5" customHeight="1">
      <c r="A22" s="250" t="s">
        <v>0</v>
      </c>
      <c r="B22" s="266">
        <f>'Weighted Average Calculation'!B46</f>
        <v>0</v>
      </c>
      <c r="C22" s="266">
        <f>'Weighted Average Calculation'!C46</f>
        <v>0</v>
      </c>
      <c r="D22" s="266">
        <f>'Weighted Average Calculation'!D46</f>
        <v>0</v>
      </c>
      <c r="E22" s="266">
        <f>'Weighted Average Calculation'!E46</f>
        <v>0</v>
      </c>
      <c r="F22" s="266">
        <f>'Weighted Average Calculation'!F46</f>
        <v>0</v>
      </c>
      <c r="G22" s="266">
        <f>'Weighted Average Calculation'!G46</f>
        <v>0</v>
      </c>
      <c r="H22" s="266"/>
      <c r="I22" s="266">
        <f>'Weighted Average Calculation'!H46</f>
        <v>0</v>
      </c>
      <c r="J22" s="266">
        <f>'Weighted Average Calculation'!I46</f>
        <v>0</v>
      </c>
      <c r="K22" s="266">
        <f>'Weighted Average Calculation'!J46</f>
        <v>0</v>
      </c>
      <c r="L22" s="266">
        <f>'Weighted Average Calculation'!K46</f>
        <v>0</v>
      </c>
      <c r="M22" s="266">
        <f>'Weighted Average Calculation'!L46</f>
        <v>0</v>
      </c>
      <c r="N22" s="266">
        <f>'Weighted Average Calculation'!M46</f>
        <v>0</v>
      </c>
      <c r="O22" s="262">
        <f t="shared" si="2"/>
        <v>0</v>
      </c>
    </row>
    <row r="23" spans="1:15" ht="10.5" customHeight="1">
      <c r="A23" s="362" t="s">
        <v>9</v>
      </c>
      <c r="B23" s="266">
        <f>'Weighted Average Calculation'!B65+'Weighted Average Calculation'!B70</f>
        <v>343556.14</v>
      </c>
      <c r="C23" s="266">
        <f>'Weighted Average Calculation'!C65+'Weighted Average Calculation'!C70</f>
        <v>4352647.72</v>
      </c>
      <c r="D23" s="266">
        <f>'Weighted Average Calculation'!D65+'Weighted Average Calculation'!D70</f>
        <v>193947.83</v>
      </c>
      <c r="E23" s="266">
        <f>'Weighted Average Calculation'!E65+'Weighted Average Calculation'!E70</f>
        <v>352136.14</v>
      </c>
      <c r="F23" s="266">
        <f>'Weighted Average Calculation'!F65+'Weighted Average Calculation'!F70</f>
        <v>397023.92</v>
      </c>
      <c r="G23" s="266">
        <f>'Weighted Average Calculation'!G65+'Weighted Average Calculation'!G70</f>
        <v>0</v>
      </c>
      <c r="H23" s="266"/>
      <c r="I23" s="266">
        <f>'Weighted Average Calculation'!H65+'Weighted Average Calculation'!H70</f>
        <v>-331</v>
      </c>
      <c r="J23" s="266">
        <f>'Weighted Average Calculation'!I65+'Weighted Average Calculation'!I70</f>
        <v>23620.25</v>
      </c>
      <c r="K23" s="266">
        <f>'Weighted Average Calculation'!J65+'Weighted Average Calculation'!J70</f>
        <v>175129.25</v>
      </c>
      <c r="L23" s="266">
        <f>'Weighted Average Calculation'!K65+'Weighted Average Calculation'!K70</f>
        <v>12388.58</v>
      </c>
      <c r="M23" s="266">
        <f>'Weighted Average Calculation'!L65+'Weighted Average Calculation'!L70</f>
        <v>-4001751.88</v>
      </c>
      <c r="N23" s="266">
        <f>'Weighted Average Calculation'!M65+'Weighted Average Calculation'!M70</f>
        <v>-3701276.73</v>
      </c>
      <c r="O23" s="262">
        <f t="shared" si="2"/>
        <v>-1852909.7800000007</v>
      </c>
    </row>
    <row r="24" spans="1:15" ht="10.5" customHeight="1" thickBot="1">
      <c r="A24" s="287" t="s">
        <v>214</v>
      </c>
      <c r="B24" s="304">
        <f aca="true" t="shared" si="3" ref="B24:G24">SUM(B14:B23)</f>
        <v>679361.65</v>
      </c>
      <c r="C24" s="304">
        <f t="shared" si="3"/>
        <v>4580990.3</v>
      </c>
      <c r="D24" s="304">
        <f t="shared" si="3"/>
        <v>1363603.5200000003</v>
      </c>
      <c r="E24" s="304">
        <f t="shared" si="3"/>
        <v>4616728.64</v>
      </c>
      <c r="F24" s="304">
        <f t="shared" si="3"/>
        <v>4552444.98</v>
      </c>
      <c r="G24" s="304">
        <f t="shared" si="3"/>
        <v>7128004.039999999</v>
      </c>
      <c r="H24" s="304">
        <f>SUM(H14:H23)</f>
        <v>0</v>
      </c>
      <c r="I24" s="304">
        <f aca="true" t="shared" si="4" ref="I24:O24">SUM(I14:I23)</f>
        <v>3635946.2300000004</v>
      </c>
      <c r="J24" s="304">
        <f t="shared" si="4"/>
        <v>-430339.29000000004</v>
      </c>
      <c r="K24" s="304">
        <f t="shared" si="4"/>
        <v>3331159.25</v>
      </c>
      <c r="L24" s="304">
        <f t="shared" si="4"/>
        <v>6352887.760000001</v>
      </c>
      <c r="M24" s="304">
        <f t="shared" si="4"/>
        <v>-2972221.92</v>
      </c>
      <c r="N24" s="305">
        <f t="shared" si="4"/>
        <v>2878076.2999999993</v>
      </c>
      <c r="O24" s="256">
        <f t="shared" si="4"/>
        <v>35716641.46</v>
      </c>
    </row>
    <row r="25" spans="1:15" ht="10.5" customHeight="1">
      <c r="A25" s="288"/>
      <c r="B25" s="1"/>
      <c r="C25" s="1"/>
      <c r="D25" s="1"/>
      <c r="E25" s="1"/>
      <c r="F25" s="1"/>
      <c r="G25" s="279"/>
      <c r="H25" s="285"/>
      <c r="I25" s="279"/>
      <c r="J25" s="279"/>
      <c r="K25" s="279"/>
      <c r="L25" s="279"/>
      <c r="M25" s="279"/>
      <c r="N25" s="279"/>
      <c r="O25" s="1"/>
    </row>
    <row r="26" spans="1:15" ht="10.5" customHeight="1">
      <c r="A26" s="288"/>
      <c r="B26" s="263"/>
      <c r="C26" s="263"/>
      <c r="D26" s="263"/>
      <c r="E26" s="263"/>
      <c r="F26" s="263"/>
      <c r="G26" s="263"/>
      <c r="H26" s="257"/>
      <c r="I26" s="263"/>
      <c r="J26" s="263"/>
      <c r="K26" s="263"/>
      <c r="L26" s="263"/>
      <c r="M26" s="263"/>
      <c r="N26" s="300"/>
      <c r="O26" s="263"/>
    </row>
    <row r="27" spans="1:15" ht="10.5" customHeight="1">
      <c r="A27" s="289"/>
      <c r="B27" s="2"/>
      <c r="C27" s="2"/>
      <c r="D27" s="2"/>
      <c r="E27" s="2"/>
      <c r="F27" s="2"/>
      <c r="G27" s="2"/>
      <c r="H27" s="2"/>
      <c r="I27" s="2"/>
      <c r="J27" s="2"/>
      <c r="K27" s="2"/>
      <c r="L27" s="2"/>
      <c r="M27" s="2"/>
      <c r="N27" s="2"/>
      <c r="O27" s="2"/>
    </row>
    <row r="28" spans="1:15" ht="10.5" customHeight="1">
      <c r="A28" s="250" t="s">
        <v>11</v>
      </c>
      <c r="B28" s="266">
        <f>'Weighted Average Calculation'!B50</f>
        <v>176684.8</v>
      </c>
      <c r="C28" s="266">
        <f>'Weighted Average Calculation'!C50</f>
        <v>216051</v>
      </c>
      <c r="D28" s="266">
        <f>'Weighted Average Calculation'!D50</f>
        <v>2241918.95</v>
      </c>
      <c r="E28" s="266">
        <f>'Weighted Average Calculation'!E50</f>
        <v>1831735.67</v>
      </c>
      <c r="F28" s="266">
        <f>'Weighted Average Calculation'!F50</f>
        <v>1844603.14</v>
      </c>
      <c r="G28" s="266">
        <f>'Weighted Average Calculation'!G50</f>
        <v>1879545.33</v>
      </c>
      <c r="H28" s="266"/>
      <c r="I28" s="266">
        <f>'Weighted Average Calculation'!H50</f>
        <v>1868002.88</v>
      </c>
      <c r="J28" s="266">
        <f>'Weighted Average Calculation'!I50</f>
        <v>1844240.31</v>
      </c>
      <c r="K28" s="266">
        <f>'Weighted Average Calculation'!J50</f>
        <v>1864350.47</v>
      </c>
      <c r="L28" s="266">
        <f>'Weighted Average Calculation'!K50</f>
        <v>1854301.58</v>
      </c>
      <c r="M28" s="266">
        <f>'Weighted Average Calculation'!L50</f>
        <v>1822525.87</v>
      </c>
      <c r="N28" s="266">
        <f>'Weighted Average Calculation'!M50</f>
        <v>1989671.33</v>
      </c>
      <c r="O28" s="262">
        <f>SUM(B28:N28)</f>
        <v>19433631.33</v>
      </c>
    </row>
    <row r="29" spans="1:15" ht="10.5" customHeight="1">
      <c r="A29" s="250" t="s">
        <v>12</v>
      </c>
      <c r="B29" s="266">
        <f>'Weighted Average Calculation'!B51</f>
        <v>189798.74</v>
      </c>
      <c r="C29" s="266">
        <f>'Weighted Average Calculation'!C51</f>
        <v>241757.36</v>
      </c>
      <c r="D29" s="266">
        <f>'Weighted Average Calculation'!D51</f>
        <v>370452.33</v>
      </c>
      <c r="E29" s="266">
        <f>'Weighted Average Calculation'!E51</f>
        <v>377342.34</v>
      </c>
      <c r="F29" s="266">
        <f>'Weighted Average Calculation'!F51</f>
        <v>385540.72</v>
      </c>
      <c r="G29" s="266">
        <f>'Weighted Average Calculation'!G51</f>
        <v>384286.25</v>
      </c>
      <c r="H29" s="266"/>
      <c r="I29" s="266">
        <f>'Weighted Average Calculation'!H51</f>
        <v>428690.96</v>
      </c>
      <c r="J29" s="266">
        <f>'Weighted Average Calculation'!I51</f>
        <v>396948.25</v>
      </c>
      <c r="K29" s="266">
        <f>'Weighted Average Calculation'!J51</f>
        <v>490117.63</v>
      </c>
      <c r="L29" s="266">
        <f>'Weighted Average Calculation'!K51</f>
        <v>414180.01</v>
      </c>
      <c r="M29" s="266">
        <f>'Weighted Average Calculation'!L51</f>
        <v>395834.06</v>
      </c>
      <c r="N29" s="266">
        <f>'Weighted Average Calculation'!M51</f>
        <v>461432.58</v>
      </c>
      <c r="O29" s="262">
        <f>SUM(B29:N29)</f>
        <v>4536381.2299999995</v>
      </c>
    </row>
    <row r="30" spans="1:15" ht="10.5" customHeight="1">
      <c r="A30" s="250" t="s">
        <v>13</v>
      </c>
      <c r="B30" s="266">
        <f>'Weighted Average Calculation'!B52</f>
        <v>276935.26</v>
      </c>
      <c r="C30" s="266">
        <f>'Weighted Average Calculation'!C52</f>
        <v>290044.76</v>
      </c>
      <c r="D30" s="266">
        <f>'Weighted Average Calculation'!D52</f>
        <v>579564.63</v>
      </c>
      <c r="E30" s="266">
        <f>'Weighted Average Calculation'!E52</f>
        <v>541902.41</v>
      </c>
      <c r="F30" s="266">
        <f>'Weighted Average Calculation'!F52</f>
        <v>546720.39</v>
      </c>
      <c r="G30" s="266">
        <f>'Weighted Average Calculation'!G52</f>
        <v>547737.33</v>
      </c>
      <c r="H30" s="266"/>
      <c r="I30" s="266">
        <f>'Weighted Average Calculation'!H52</f>
        <v>562108.52</v>
      </c>
      <c r="J30" s="266">
        <f>'Weighted Average Calculation'!I52</f>
        <v>558533.63</v>
      </c>
      <c r="K30" s="266">
        <f>'Weighted Average Calculation'!J52</f>
        <v>581427.62</v>
      </c>
      <c r="L30" s="266">
        <f>'Weighted Average Calculation'!K52</f>
        <v>586275.96</v>
      </c>
      <c r="M30" s="266">
        <f>'Weighted Average Calculation'!L52</f>
        <v>556858.95</v>
      </c>
      <c r="N30" s="266">
        <f>'Weighted Average Calculation'!M52</f>
        <v>605387.57</v>
      </c>
      <c r="O30" s="262">
        <f aca="true" t="shared" si="5" ref="O30:O36">SUM(B30:N30)</f>
        <v>6233497.03</v>
      </c>
    </row>
    <row r="31" spans="1:15" ht="10.5" customHeight="1">
      <c r="A31" s="250" t="s">
        <v>14</v>
      </c>
      <c r="B31" s="266">
        <f>'Weighted Average Calculation'!B53</f>
        <v>21869.55</v>
      </c>
      <c r="C31" s="266">
        <f>'Weighted Average Calculation'!C53</f>
        <v>129212.28</v>
      </c>
      <c r="D31" s="266">
        <f>'Weighted Average Calculation'!D53</f>
        <v>119504.96</v>
      </c>
      <c r="E31" s="266">
        <f>'Weighted Average Calculation'!E53</f>
        <v>66958.78</v>
      </c>
      <c r="F31" s="266">
        <f>'Weighted Average Calculation'!F53</f>
        <v>142640.73</v>
      </c>
      <c r="G31" s="266">
        <f>'Weighted Average Calculation'!G53</f>
        <v>154610.9</v>
      </c>
      <c r="H31" s="266"/>
      <c r="I31" s="266">
        <f>'Weighted Average Calculation'!H53</f>
        <v>104871.86</v>
      </c>
      <c r="J31" s="266">
        <f>'Weighted Average Calculation'!I53</f>
        <v>118303.63</v>
      </c>
      <c r="K31" s="266">
        <f>'Weighted Average Calculation'!J53</f>
        <v>90285.53</v>
      </c>
      <c r="L31" s="266">
        <f>'Weighted Average Calculation'!K53</f>
        <v>134695.25</v>
      </c>
      <c r="M31" s="266">
        <f>'Weighted Average Calculation'!L53</f>
        <v>160419.11</v>
      </c>
      <c r="N31" s="266">
        <f>'Weighted Average Calculation'!M53</f>
        <v>323469.65</v>
      </c>
      <c r="O31" s="262">
        <f t="shared" si="5"/>
        <v>1566842.23</v>
      </c>
    </row>
    <row r="32" spans="1:15" ht="10.5" customHeight="1">
      <c r="A32" s="250" t="s">
        <v>15</v>
      </c>
      <c r="B32" s="266">
        <f>'Weighted Average Calculation'!B54</f>
        <v>81941.95</v>
      </c>
      <c r="C32" s="266">
        <f>'Weighted Average Calculation'!C54</f>
        <v>270545.79</v>
      </c>
      <c r="D32" s="266">
        <f>'Weighted Average Calculation'!D54</f>
        <v>321738</v>
      </c>
      <c r="E32" s="266">
        <f>'Weighted Average Calculation'!E54</f>
        <v>293420.92</v>
      </c>
      <c r="F32" s="266">
        <f>'Weighted Average Calculation'!F54</f>
        <v>328692.59</v>
      </c>
      <c r="G32" s="266">
        <f>'Weighted Average Calculation'!G54</f>
        <v>282958.01</v>
      </c>
      <c r="H32" s="266"/>
      <c r="I32" s="266">
        <f>'Weighted Average Calculation'!H54</f>
        <v>363428.43</v>
      </c>
      <c r="J32" s="266">
        <f>'Weighted Average Calculation'!I54</f>
        <v>293362.05</v>
      </c>
      <c r="K32" s="266">
        <f>'Weighted Average Calculation'!J54</f>
        <v>253013.04</v>
      </c>
      <c r="L32" s="266">
        <f>'Weighted Average Calculation'!K54</f>
        <v>365757.28</v>
      </c>
      <c r="M32" s="266">
        <f>'Weighted Average Calculation'!L54</f>
        <v>338658.12</v>
      </c>
      <c r="N32" s="266">
        <f>'Weighted Average Calculation'!M54</f>
        <v>777252.05</v>
      </c>
      <c r="O32" s="262">
        <f t="shared" si="5"/>
        <v>3970768.2299999995</v>
      </c>
    </row>
    <row r="33" spans="1:15" ht="10.5" customHeight="1">
      <c r="A33" s="250" t="s">
        <v>16</v>
      </c>
      <c r="B33" s="266">
        <f>'Weighted Average Calculation'!B55</f>
        <v>160</v>
      </c>
      <c r="C33" s="266">
        <f>'Weighted Average Calculation'!C55</f>
        <v>16256</v>
      </c>
      <c r="D33" s="266">
        <f>'Weighted Average Calculation'!D55</f>
        <v>3624.29</v>
      </c>
      <c r="E33" s="266">
        <f>'Weighted Average Calculation'!E55</f>
        <v>13584.9</v>
      </c>
      <c r="F33" s="266">
        <f>'Weighted Average Calculation'!F55</f>
        <v>0</v>
      </c>
      <c r="G33" s="266">
        <f>'Weighted Average Calculation'!G55</f>
        <v>14092.22</v>
      </c>
      <c r="H33" s="266"/>
      <c r="I33" s="266">
        <f>'Weighted Average Calculation'!H55</f>
        <v>98069.88</v>
      </c>
      <c r="J33" s="266">
        <f>'Weighted Average Calculation'!I55</f>
        <v>22811.4</v>
      </c>
      <c r="K33" s="266">
        <f>'Weighted Average Calculation'!J55</f>
        <v>15985.7</v>
      </c>
      <c r="L33" s="266">
        <f>'Weighted Average Calculation'!K55</f>
        <v>72071.02</v>
      </c>
      <c r="M33" s="266">
        <f>'Weighted Average Calculation'!L55</f>
        <v>6920.51</v>
      </c>
      <c r="N33" s="266">
        <f>'Weighted Average Calculation'!M55</f>
        <v>273157.97</v>
      </c>
      <c r="O33" s="262">
        <f t="shared" si="5"/>
        <v>536733.89</v>
      </c>
    </row>
    <row r="34" spans="1:15" ht="10.5" customHeight="1">
      <c r="A34" s="250" t="s">
        <v>17</v>
      </c>
      <c r="B34" s="266">
        <f>'Weighted Average Calculation'!B56</f>
        <v>-9043.33</v>
      </c>
      <c r="C34" s="266">
        <f>'Weighted Average Calculation'!C56</f>
        <v>200003.82</v>
      </c>
      <c r="D34" s="266">
        <f>'Weighted Average Calculation'!D56</f>
        <v>0</v>
      </c>
      <c r="E34" s="266">
        <f>'Weighted Average Calculation'!E56</f>
        <v>0</v>
      </c>
      <c r="F34" s="266">
        <f>'Weighted Average Calculation'!F56</f>
        <v>34861.99</v>
      </c>
      <c r="G34" s="266">
        <f>'Weighted Average Calculation'!G56</f>
        <v>0</v>
      </c>
      <c r="H34" s="266"/>
      <c r="I34" s="266">
        <f>'Weighted Average Calculation'!H56</f>
        <v>99693.5</v>
      </c>
      <c r="J34" s="266">
        <f>'Weighted Average Calculation'!I56</f>
        <v>9727.67</v>
      </c>
      <c r="K34" s="266">
        <f>'Weighted Average Calculation'!J56</f>
        <v>0</v>
      </c>
      <c r="L34" s="266">
        <f>'Weighted Average Calculation'!K56</f>
        <v>0</v>
      </c>
      <c r="M34" s="266">
        <f>'Weighted Average Calculation'!L56</f>
        <v>11606.14</v>
      </c>
      <c r="N34" s="266">
        <f>'Weighted Average Calculation'!M56</f>
        <v>1329636.54</v>
      </c>
      <c r="O34" s="262">
        <f t="shared" si="5"/>
        <v>1676486.33</v>
      </c>
    </row>
    <row r="35" spans="1:15" ht="10.5" customHeight="1">
      <c r="A35" s="250" t="s">
        <v>31</v>
      </c>
      <c r="B35" s="266">
        <f>'Weighted Average Calculation'!B57</f>
        <v>0</v>
      </c>
      <c r="C35" s="266">
        <f>'Weighted Average Calculation'!C57</f>
        <v>0</v>
      </c>
      <c r="D35" s="266">
        <f>'Weighted Average Calculation'!D57</f>
        <v>0</v>
      </c>
      <c r="E35" s="266">
        <f>'Weighted Average Calculation'!E57</f>
        <v>52000</v>
      </c>
      <c r="F35" s="266">
        <f>'Weighted Average Calculation'!F57</f>
        <v>0</v>
      </c>
      <c r="G35" s="266">
        <f>'Weighted Average Calculation'!G57</f>
        <v>0</v>
      </c>
      <c r="H35" s="266"/>
      <c r="I35" s="266">
        <f>'Weighted Average Calculation'!H57</f>
        <v>0</v>
      </c>
      <c r="J35" s="266">
        <f>'Weighted Average Calculation'!I57</f>
        <v>0</v>
      </c>
      <c r="K35" s="266">
        <f>'Weighted Average Calculation'!J57</f>
        <v>0</v>
      </c>
      <c r="L35" s="266">
        <f>'Weighted Average Calculation'!K57</f>
        <v>0</v>
      </c>
      <c r="M35" s="301">
        <f>'Weighted Average Calculation'!L57</f>
        <v>20000</v>
      </c>
      <c r="N35" s="301">
        <f>'Weighted Average Calculation'!M57</f>
        <v>218263.91</v>
      </c>
      <c r="O35" s="262">
        <f t="shared" si="5"/>
        <v>290263.91000000003</v>
      </c>
    </row>
    <row r="36" spans="1:15" ht="10.5" customHeight="1">
      <c r="A36" s="250" t="s">
        <v>35</v>
      </c>
      <c r="B36" s="266">
        <f>'Weighted Average Calculation'!B58</f>
        <v>0</v>
      </c>
      <c r="C36" s="266">
        <f>'Weighted Average Calculation'!C58</f>
        <v>0</v>
      </c>
      <c r="D36" s="266">
        <f>'Weighted Average Calculation'!D58</f>
        <v>0</v>
      </c>
      <c r="E36" s="266">
        <f>'Weighted Average Calculation'!E58</f>
        <v>0</v>
      </c>
      <c r="F36" s="266">
        <f>'Weighted Average Calculation'!F58</f>
        <v>0</v>
      </c>
      <c r="G36" s="266">
        <f>'Weighted Average Calculation'!G58</f>
        <v>0</v>
      </c>
      <c r="H36" s="302"/>
      <c r="I36" s="266">
        <f>'Weighted Average Calculation'!H58</f>
        <v>0</v>
      </c>
      <c r="J36" s="302">
        <f>'Weighted Average Calculation'!I58</f>
        <v>0</v>
      </c>
      <c r="K36" s="302">
        <f>'Weighted Average Calculation'!J58</f>
        <v>0</v>
      </c>
      <c r="L36" s="302">
        <f>'Weighted Average Calculation'!K58</f>
        <v>0</v>
      </c>
      <c r="M36" s="302">
        <f>'Weighted Average Calculation'!L58</f>
        <v>0</v>
      </c>
      <c r="N36" s="302">
        <f>'Weighted Average Calculation'!M58</f>
        <v>0</v>
      </c>
      <c r="O36" s="262">
        <f t="shared" si="5"/>
        <v>0</v>
      </c>
    </row>
    <row r="37" spans="1:15" ht="10.5" customHeight="1">
      <c r="A37" s="250" t="s">
        <v>36</v>
      </c>
      <c r="B37" s="302">
        <f>'Weighted Average Calculation'!B66</f>
        <v>317603.36</v>
      </c>
      <c r="C37" s="302">
        <f>'Weighted Average Calculation'!C66</f>
        <v>4259384.35</v>
      </c>
      <c r="D37" s="302">
        <f>'Weighted Average Calculation'!D66</f>
        <v>78576.69</v>
      </c>
      <c r="E37" s="302">
        <f>'Weighted Average Calculation'!E66</f>
        <v>439231.37</v>
      </c>
      <c r="F37" s="302">
        <f>'Weighted Average Calculation'!F66</f>
        <v>-2365.18</v>
      </c>
      <c r="G37" s="302">
        <f>'Weighted Average Calculation'!G66</f>
        <v>-3611.87</v>
      </c>
      <c r="H37" s="302"/>
      <c r="I37" s="302">
        <f>'Weighted Average Calculation'!H66</f>
        <v>55596.25</v>
      </c>
      <c r="J37" s="302">
        <f>'Weighted Average Calculation'!I66</f>
        <v>-758734.16</v>
      </c>
      <c r="K37" s="302">
        <f>'Weighted Average Calculation'!J66</f>
        <v>-650.53</v>
      </c>
      <c r="L37" s="302">
        <f>'Weighted Average Calculation'!K66</f>
        <v>17599.83</v>
      </c>
      <c r="M37" s="302">
        <f>'Weighted Average Calculation'!L66</f>
        <v>-4035967.38</v>
      </c>
      <c r="N37" s="302">
        <f>'Weighted Average Calculation'!M66</f>
        <v>-3236345.91</v>
      </c>
      <c r="O37" s="262">
        <f>SUM(B37:N37)</f>
        <v>-2869683.1799999997</v>
      </c>
    </row>
    <row r="38" spans="1:15" ht="10.5" customHeight="1" thickBot="1">
      <c r="A38" s="286" t="s">
        <v>37</v>
      </c>
      <c r="B38" s="309">
        <f>'Weighted Average Calculation'!B67</f>
        <v>100753.28</v>
      </c>
      <c r="C38" s="309">
        <f>'Weighted Average Calculation'!C67</f>
        <v>20574.76</v>
      </c>
      <c r="D38" s="309">
        <f>'Weighted Average Calculation'!D67</f>
        <v>-97060.4</v>
      </c>
      <c r="E38" s="309">
        <f>'Weighted Average Calculation'!E67</f>
        <v>2562.5</v>
      </c>
      <c r="F38" s="309">
        <f>'Weighted Average Calculation'!F67</f>
        <v>58994.74</v>
      </c>
      <c r="G38" s="309">
        <f>'Weighted Average Calculation'!G67</f>
        <v>-17831.82</v>
      </c>
      <c r="H38" s="309"/>
      <c r="I38" s="309">
        <f>'Weighted Average Calculation'!H67</f>
        <v>-33673.23</v>
      </c>
      <c r="J38" s="309">
        <f>'Weighted Average Calculation'!I67</f>
        <v>-67627.83</v>
      </c>
      <c r="K38" s="309">
        <f>'Weighted Average Calculation'!J67</f>
        <v>11763.5</v>
      </c>
      <c r="L38" s="309">
        <f>'Weighted Average Calculation'!K67</f>
        <v>-98130.11</v>
      </c>
      <c r="M38" s="309">
        <f>'Weighted Average Calculation'!L67</f>
        <v>115464.09</v>
      </c>
      <c r="N38" s="309">
        <f>'Weighted Average Calculation'!M67</f>
        <v>-27506.27</v>
      </c>
      <c r="O38" s="267">
        <f>SUM(B38:N38)</f>
        <v>-31716.79000000002</v>
      </c>
    </row>
    <row r="39" spans="1:15" ht="10.5" customHeight="1" thickBot="1">
      <c r="A39" s="287" t="s">
        <v>118</v>
      </c>
      <c r="B39" s="255">
        <f aca="true" t="shared" si="6" ref="B39:N39">SUM(B28:B38)</f>
        <v>1156703.61</v>
      </c>
      <c r="C39" s="255">
        <f t="shared" si="6"/>
        <v>5643830.119999999</v>
      </c>
      <c r="D39" s="255">
        <f t="shared" si="6"/>
        <v>3618319.45</v>
      </c>
      <c r="E39" s="255">
        <f t="shared" si="6"/>
        <v>3618738.8899999997</v>
      </c>
      <c r="F39" s="255">
        <f t="shared" si="6"/>
        <v>3339689.12</v>
      </c>
      <c r="G39" s="255">
        <f t="shared" si="6"/>
        <v>3241786.3500000006</v>
      </c>
      <c r="H39" s="255">
        <f>SUM(H28:H38)</f>
        <v>0</v>
      </c>
      <c r="I39" s="255">
        <f t="shared" si="6"/>
        <v>3546789.05</v>
      </c>
      <c r="J39" s="255">
        <f t="shared" si="6"/>
        <v>2417564.9499999993</v>
      </c>
      <c r="K39" s="255">
        <f t="shared" si="6"/>
        <v>3306292.9600000004</v>
      </c>
      <c r="L39" s="255">
        <f t="shared" si="6"/>
        <v>3346750.8200000003</v>
      </c>
      <c r="M39" s="255">
        <f t="shared" si="6"/>
        <v>-607680.5300000001</v>
      </c>
      <c r="N39" s="299">
        <f t="shared" si="6"/>
        <v>2714419.4199999995</v>
      </c>
      <c r="O39" s="256">
        <f>SUM(O28:O38)</f>
        <v>35343204.20999999</v>
      </c>
    </row>
    <row r="40" spans="1:15" ht="10.5" customHeight="1">
      <c r="A40" s="289"/>
      <c r="B40" s="2"/>
      <c r="C40" s="2"/>
      <c r="D40" s="2"/>
      <c r="E40" s="2"/>
      <c r="F40" s="2"/>
      <c r="G40" s="2"/>
      <c r="H40" s="307"/>
      <c r="I40" s="2"/>
      <c r="J40" s="2"/>
      <c r="K40" s="2"/>
      <c r="L40" s="2"/>
      <c r="M40" s="2"/>
      <c r="N40" s="2"/>
      <c r="O40" s="2"/>
    </row>
    <row r="41" spans="1:15" ht="10.5" customHeight="1" thickBot="1">
      <c r="A41" s="287" t="s">
        <v>181</v>
      </c>
      <c r="B41" s="255">
        <f aca="true" t="shared" si="7" ref="B41:O41">+B12+B24-B39</f>
        <v>2657229.8899999997</v>
      </c>
      <c r="C41" s="255">
        <f t="shared" si="7"/>
        <v>1594390.0700000003</v>
      </c>
      <c r="D41" s="255">
        <f t="shared" si="7"/>
        <v>-660325.8599999994</v>
      </c>
      <c r="E41" s="255">
        <f t="shared" si="7"/>
        <v>337663.8900000006</v>
      </c>
      <c r="F41" s="255">
        <f t="shared" si="7"/>
        <v>1550419.750000001</v>
      </c>
      <c r="G41" s="255">
        <f t="shared" si="7"/>
        <v>5436637.439999999</v>
      </c>
      <c r="H41" s="255">
        <f t="shared" si="7"/>
        <v>5436637.439999999</v>
      </c>
      <c r="I41" s="255">
        <f t="shared" si="7"/>
        <v>5525794.619999998</v>
      </c>
      <c r="J41" s="255">
        <f t="shared" si="7"/>
        <v>2677890.379999999</v>
      </c>
      <c r="K41" s="255">
        <f t="shared" si="7"/>
        <v>2702756.6699999985</v>
      </c>
      <c r="L41" s="255">
        <f t="shared" si="7"/>
        <v>5708893.609999999</v>
      </c>
      <c r="M41" s="255">
        <f t="shared" si="7"/>
        <v>3344352.2199999997</v>
      </c>
      <c r="N41" s="255">
        <f t="shared" si="7"/>
        <v>3508009.1</v>
      </c>
      <c r="O41" s="255">
        <f t="shared" si="7"/>
        <v>3508009.100000009</v>
      </c>
    </row>
    <row r="42" spans="1:15" ht="10.5" customHeight="1">
      <c r="A42" s="288"/>
      <c r="B42" s="263"/>
      <c r="C42" s="263"/>
      <c r="D42" s="263"/>
      <c r="E42" s="263"/>
      <c r="F42" s="263"/>
      <c r="G42" s="263"/>
      <c r="H42" s="257"/>
      <c r="I42" s="263"/>
      <c r="J42" s="263"/>
      <c r="K42" s="263"/>
      <c r="L42" s="263"/>
      <c r="M42" s="263"/>
      <c r="N42" s="263"/>
      <c r="O42" s="263"/>
    </row>
    <row r="43" spans="1:15" ht="10.5" customHeight="1">
      <c r="A43" s="288"/>
      <c r="B43" s="263"/>
      <c r="C43" s="263"/>
      <c r="D43" s="263"/>
      <c r="E43" s="263"/>
      <c r="F43" s="263"/>
      <c r="G43" s="263"/>
      <c r="H43" s="257"/>
      <c r="I43" s="263"/>
      <c r="J43" s="263"/>
      <c r="K43" s="263"/>
      <c r="L43" s="263"/>
      <c r="M43" s="263"/>
      <c r="N43" s="263"/>
      <c r="O43" s="263"/>
    </row>
    <row r="44" spans="1:15" ht="10.5" customHeight="1" thickBot="1">
      <c r="A44" s="287" t="s">
        <v>119</v>
      </c>
      <c r="B44" s="306">
        <f>'Weighted Average Calculation'!B59</f>
        <v>0</v>
      </c>
      <c r="C44" s="306">
        <f>'Weighted Average Calculation'!C59</f>
        <v>0</v>
      </c>
      <c r="D44" s="306">
        <f>'Weighted Average Calculation'!D59</f>
        <v>0</v>
      </c>
      <c r="E44" s="306">
        <f>'Weighted Average Calculation'!E59</f>
        <v>0</v>
      </c>
      <c r="F44" s="306">
        <f>'Weighted Average Calculation'!F59</f>
        <v>0</v>
      </c>
      <c r="G44" s="306">
        <f>'Weighted Average Calculation'!G59</f>
        <v>0</v>
      </c>
      <c r="H44" s="306">
        <f>'Weighted Average Calculation'!H59</f>
        <v>0</v>
      </c>
      <c r="I44" s="306">
        <f>'Weighted Average Calculation'!I59</f>
        <v>0</v>
      </c>
      <c r="J44" s="306">
        <f>'Weighted Average Calculation'!J59</f>
        <v>0</v>
      </c>
      <c r="K44" s="306">
        <f>'Weighted Average Calculation'!K59</f>
        <v>0</v>
      </c>
      <c r="L44" s="306">
        <f>'Weighted Average Calculation'!L59</f>
        <v>0</v>
      </c>
      <c r="M44" s="306">
        <f>'Weighted Average Calculation'!M59</f>
        <v>0</v>
      </c>
      <c r="N44" s="306">
        <f>'Weighted Average Calculation'!N59</f>
        <v>0</v>
      </c>
      <c r="O44" s="256">
        <f>SUM(B44:N44)</f>
        <v>0</v>
      </c>
    </row>
    <row r="45" spans="1:15" ht="10.5" customHeight="1" thickTop="1">
      <c r="A45" s="290"/>
      <c r="B45" s="264"/>
      <c r="C45" s="264"/>
      <c r="D45" s="264"/>
      <c r="E45" s="264"/>
      <c r="F45" s="264"/>
      <c r="G45" s="264"/>
      <c r="H45" s="258"/>
      <c r="I45" s="264"/>
      <c r="J45" s="264"/>
      <c r="K45" s="264"/>
      <c r="L45" s="264"/>
      <c r="M45" s="264"/>
      <c r="N45" s="264"/>
      <c r="O45" s="264"/>
    </row>
    <row r="46" spans="1:15" ht="10.5" customHeight="1" thickBot="1">
      <c r="A46" s="287" t="s">
        <v>234</v>
      </c>
      <c r="B46" s="255">
        <f aca="true" t="shared" si="8" ref="B46:O46">B44+B41</f>
        <v>2657229.8899999997</v>
      </c>
      <c r="C46" s="255">
        <f t="shared" si="8"/>
        <v>1594390.0700000003</v>
      </c>
      <c r="D46" s="255">
        <f t="shared" si="8"/>
        <v>-660325.8599999994</v>
      </c>
      <c r="E46" s="255">
        <f t="shared" si="8"/>
        <v>337663.8900000006</v>
      </c>
      <c r="F46" s="255">
        <f t="shared" si="8"/>
        <v>1550419.750000001</v>
      </c>
      <c r="G46" s="255">
        <f t="shared" si="8"/>
        <v>5436637.439999999</v>
      </c>
      <c r="H46" s="255">
        <f t="shared" si="8"/>
        <v>5436637.439999999</v>
      </c>
      <c r="I46" s="255">
        <f t="shared" si="8"/>
        <v>5525794.619999998</v>
      </c>
      <c r="J46" s="255">
        <f t="shared" si="8"/>
        <v>2677890.379999999</v>
      </c>
      <c r="K46" s="255">
        <f t="shared" si="8"/>
        <v>2702756.6699999985</v>
      </c>
      <c r="L46" s="255">
        <f t="shared" si="8"/>
        <v>5708893.609999999</v>
      </c>
      <c r="M46" s="255">
        <f t="shared" si="8"/>
        <v>3344352.2199999997</v>
      </c>
      <c r="N46" s="255">
        <f t="shared" si="8"/>
        <v>3508009.1</v>
      </c>
      <c r="O46" s="256">
        <f t="shared" si="8"/>
        <v>3508009.100000009</v>
      </c>
    </row>
    <row r="47" spans="1:15" ht="11.25" customHeight="1">
      <c r="A47" s="288"/>
      <c r="B47" s="263"/>
      <c r="C47" s="263"/>
      <c r="D47" s="263"/>
      <c r="E47" s="263"/>
      <c r="F47" s="263"/>
      <c r="G47" s="263"/>
      <c r="H47" s="257"/>
      <c r="I47" s="263"/>
      <c r="J47" s="263"/>
      <c r="K47" s="263"/>
      <c r="L47" s="263"/>
      <c r="M47" s="263"/>
      <c r="N47" s="263"/>
      <c r="O47" s="263"/>
    </row>
  </sheetData>
  <sheetProtection password="CA11" sheet="1" objects="1" scenarios="1"/>
  <mergeCells count="1">
    <mergeCell ref="K1:N1"/>
  </mergeCells>
  <conditionalFormatting sqref="H21:H23 B23:G23 I23:N23">
    <cfRule type="cellIs" priority="1" dxfId="6" operator="equal" stopIfTrue="1">
      <formula>0</formula>
    </cfRule>
  </conditionalFormatting>
  <conditionalFormatting sqref="A13 A44 A46 A39 A24 A5 A41 P5:HW5 P39:HW39 P24:HW24 P41:HW41 P44:HW44 P46:HW46">
    <cfRule type="cellIs" priority="2" dxfId="8" operator="lessThan" stopIfTrue="1">
      <formula>-0.5</formula>
    </cfRule>
  </conditionalFormatting>
  <conditionalFormatting sqref="B9:O9 B12:O12 B41:O41 B24:O24 B46:O46 B39:O39 B44:O44 B5">
    <cfRule type="cellIs" priority="3" dxfId="8" operator="lessThan" stopIfTrue="1">
      <formula>-0.5</formula>
    </cfRule>
  </conditionalFormatting>
  <printOptions horizontalCentered="1"/>
  <pageMargins left="0.25" right="0.25" top="0.5" bottom="0.5" header="0.5" footer="0.5"/>
  <pageSetup fitToHeight="1" fitToWidth="1" orientation="landscape" scale="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Financial Strategies</dc:creator>
  <cp:keywords/>
  <dc:description/>
  <cp:lastModifiedBy>Rich Malone</cp:lastModifiedBy>
  <cp:lastPrinted>2011-11-04T04:21:36Z</cp:lastPrinted>
  <dcterms:created xsi:type="dcterms:W3CDTF">1998-01-05T17:03:03Z</dcterms:created>
  <dcterms:modified xsi:type="dcterms:W3CDTF">2011-11-07T22:23:26Z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